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tabRatio="661" firstSheet="37" activeTab="50"/>
  </bookViews>
  <sheets>
    <sheet name="Item1" sheetId="70" r:id="rId1"/>
    <sheet name="Item2" sheetId="71" r:id="rId2"/>
    <sheet name="Item3" sheetId="72" r:id="rId3"/>
    <sheet name="Item4" sheetId="73" r:id="rId4"/>
    <sheet name="Item5" sheetId="74" r:id="rId5"/>
    <sheet name="Item6" sheetId="75" r:id="rId6"/>
    <sheet name="Item7" sheetId="38" r:id="rId7"/>
    <sheet name="Item8" sheetId="39" r:id="rId8"/>
    <sheet name="Item9" sheetId="40" r:id="rId9"/>
    <sheet name="Item10" sheetId="41" r:id="rId10"/>
    <sheet name="Item11" sheetId="42" r:id="rId11"/>
    <sheet name="Item12" sheetId="43" r:id="rId12"/>
    <sheet name="Item13" sheetId="44" r:id="rId13"/>
    <sheet name="Item14" sheetId="45" r:id="rId14"/>
    <sheet name="Item15" sheetId="46" r:id="rId15"/>
    <sheet name="Item16" sheetId="47" r:id="rId16"/>
    <sheet name="Item17" sheetId="48" r:id="rId17"/>
    <sheet name="Item18" sheetId="49" r:id="rId18"/>
    <sheet name="Item19" sheetId="50" r:id="rId19"/>
    <sheet name="Item20" sheetId="51" r:id="rId20"/>
    <sheet name="Item21" sheetId="52" r:id="rId21"/>
    <sheet name="Item22" sheetId="53" r:id="rId22"/>
    <sheet name="Item23" sheetId="54" r:id="rId23"/>
    <sheet name="Item24" sheetId="55" r:id="rId24"/>
    <sheet name="Item25" sheetId="56" r:id="rId25"/>
    <sheet name="Item26" sheetId="57" r:id="rId26"/>
    <sheet name="Item27" sheetId="58" r:id="rId27"/>
    <sheet name="Item28" sheetId="59" r:id="rId28"/>
    <sheet name="Item29" sheetId="60" r:id="rId29"/>
    <sheet name="Item30" sheetId="61" r:id="rId30"/>
    <sheet name="Item31" sheetId="62" r:id="rId31"/>
    <sheet name="Item32" sheetId="63" r:id="rId32"/>
    <sheet name="Item33" sheetId="64" r:id="rId33"/>
    <sheet name="Item34" sheetId="65" r:id="rId34"/>
    <sheet name="Item35" sheetId="66" r:id="rId35"/>
    <sheet name="Item36" sheetId="67" r:id="rId36"/>
    <sheet name="Item37" sheetId="68" r:id="rId37"/>
    <sheet name="Item38" sheetId="69" r:id="rId38"/>
    <sheet name="Item39" sheetId="22" state="hidden" r:id="rId39"/>
    <sheet name="Item40" sheetId="23" state="hidden" r:id="rId40"/>
    <sheet name="Item41" sheetId="24" state="hidden" r:id="rId41"/>
    <sheet name="Item42" sheetId="25" state="hidden" r:id="rId42"/>
    <sheet name="Item43" sheetId="26" state="hidden" r:id="rId43"/>
    <sheet name="Item44" sheetId="27" state="hidden" r:id="rId44"/>
    <sheet name="Item45" sheetId="28" state="hidden" r:id="rId45"/>
    <sheet name="Item46" sheetId="29" state="hidden" r:id="rId46"/>
    <sheet name="Item47" sheetId="30" state="hidden" r:id="rId47"/>
    <sheet name="Item48" sheetId="31" state="hidden" r:id="rId48"/>
    <sheet name="Item49" sheetId="32" state="hidden" r:id="rId49"/>
    <sheet name="Item50" sheetId="33" state="hidden" r:id="rId50"/>
    <sheet name="TOTAL" sheetId="5" r:id="rId51"/>
    <sheet name="menores" sheetId="6" r:id="rId52"/>
  </sheets>
  <definedNames>
    <definedName name="_xlnm.Print_Area" localSheetId="51">menores!$A$1:$F$79</definedName>
    <definedName name="_xlnm.Print_Area" localSheetId="50">TOTAL!$A$1:$H$48</definedName>
    <definedName name="_xlnm.Print_Titles" localSheetId="50">TOTAL!$1:$9</definedName>
  </definedNames>
  <calcPr calcId="145621" iterateDelta="1E-4"/>
</workbook>
</file>

<file path=xl/calcChain.xml><?xml version="1.0" encoding="utf-8"?>
<calcChain xmlns="http://schemas.openxmlformats.org/spreadsheetml/2006/main">
  <c r="D3" i="22" l="1"/>
  <c r="D3" i="58"/>
  <c r="D3" i="69"/>
  <c r="D3" i="48"/>
  <c r="D3" i="68"/>
  <c r="D3" i="67"/>
  <c r="D3" i="42"/>
  <c r="D3" i="66"/>
  <c r="D3" i="74"/>
  <c r="E78" i="6" l="1"/>
  <c r="C78" i="6"/>
  <c r="D78" i="6"/>
  <c r="B78" i="6"/>
  <c r="C76" i="6"/>
  <c r="D76" i="6"/>
  <c r="B76" i="6"/>
  <c r="C74" i="6"/>
  <c r="D74" i="6"/>
  <c r="B74" i="6"/>
  <c r="C72" i="6"/>
  <c r="D72" i="6"/>
  <c r="B72" i="6"/>
  <c r="C70" i="6"/>
  <c r="D70" i="6"/>
  <c r="B70" i="6"/>
  <c r="C68" i="6"/>
  <c r="D68" i="6"/>
  <c r="B68" i="6"/>
  <c r="C66" i="6"/>
  <c r="D66" i="6"/>
  <c r="B66" i="6"/>
  <c r="C64" i="6"/>
  <c r="D64" i="6"/>
  <c r="B64" i="6"/>
  <c r="C62" i="6"/>
  <c r="D62" i="6"/>
  <c r="B62" i="6"/>
  <c r="C60" i="6"/>
  <c r="D60" i="6"/>
  <c r="B60" i="6"/>
  <c r="C58" i="6"/>
  <c r="D58" i="6"/>
  <c r="B58" i="6"/>
  <c r="C56" i="6"/>
  <c r="D56" i="6"/>
  <c r="B56" i="6"/>
  <c r="C54" i="6"/>
  <c r="D54" i="6"/>
  <c r="B54" i="6"/>
  <c r="C52" i="6"/>
  <c r="D52" i="6"/>
  <c r="B52" i="6"/>
  <c r="C50" i="6"/>
  <c r="D50" i="6"/>
  <c r="B50" i="6"/>
  <c r="C48" i="6"/>
  <c r="D48" i="6"/>
  <c r="B48" i="6"/>
  <c r="C46" i="6"/>
  <c r="D46" i="6"/>
  <c r="B46" i="6"/>
  <c r="C44" i="6"/>
  <c r="D44" i="6"/>
  <c r="B44" i="6"/>
  <c r="C42" i="6"/>
  <c r="D42" i="6"/>
  <c r="B42" i="6"/>
  <c r="C40" i="6"/>
  <c r="D40" i="6"/>
  <c r="B40" i="6"/>
  <c r="C38" i="6"/>
  <c r="D38" i="6"/>
  <c r="B38" i="6"/>
  <c r="C36" i="6"/>
  <c r="D36" i="6"/>
  <c r="B36" i="6"/>
  <c r="C34" i="6"/>
  <c r="D34" i="6"/>
  <c r="B34" i="6"/>
  <c r="C32" i="6"/>
  <c r="D32" i="6"/>
  <c r="B32" i="6"/>
  <c r="C30" i="6"/>
  <c r="D30" i="6"/>
  <c r="B30" i="6"/>
  <c r="C28" i="6"/>
  <c r="D28" i="6"/>
  <c r="B28" i="6"/>
  <c r="C26" i="6"/>
  <c r="D26" i="6"/>
  <c r="B26" i="6"/>
  <c r="C24" i="6"/>
  <c r="D24" i="6"/>
  <c r="B24" i="6"/>
  <c r="C22" i="6"/>
  <c r="D22" i="6"/>
  <c r="B22" i="6"/>
  <c r="C20" i="6"/>
  <c r="D20" i="6"/>
  <c r="B20" i="6"/>
  <c r="C18" i="6"/>
  <c r="D18" i="6"/>
  <c r="B18" i="6"/>
  <c r="C16" i="6"/>
  <c r="D16" i="6"/>
  <c r="B16" i="6"/>
  <c r="C14" i="6"/>
  <c r="D14" i="6"/>
  <c r="B14" i="6"/>
  <c r="C12" i="6"/>
  <c r="D12" i="6"/>
  <c r="B12" i="6"/>
  <c r="C10" i="6"/>
  <c r="D10" i="6"/>
  <c r="B10" i="6"/>
  <c r="C8" i="6"/>
  <c r="D8" i="6"/>
  <c r="B8" i="6"/>
  <c r="C6" i="6"/>
  <c r="D6" i="6"/>
  <c r="B6" i="6"/>
  <c r="C4" i="6"/>
  <c r="D4" i="6"/>
  <c r="B4" i="6"/>
  <c r="D47" i="5"/>
  <c r="E47" i="5"/>
  <c r="C47" i="5"/>
  <c r="D46" i="5"/>
  <c r="E46" i="5"/>
  <c r="C46" i="5"/>
  <c r="D45" i="5"/>
  <c r="E45" i="5"/>
  <c r="C45" i="5"/>
  <c r="D44" i="5"/>
  <c r="E44" i="5"/>
  <c r="C44" i="5"/>
  <c r="D43" i="5"/>
  <c r="E43" i="5"/>
  <c r="C43" i="5"/>
  <c r="D42" i="5"/>
  <c r="E42" i="5"/>
  <c r="C42" i="5"/>
  <c r="D41" i="5"/>
  <c r="E41" i="5"/>
  <c r="C41" i="5"/>
  <c r="D40" i="5"/>
  <c r="E40" i="5"/>
  <c r="C40" i="5"/>
  <c r="D39" i="5"/>
  <c r="E39" i="5"/>
  <c r="C39" i="5"/>
  <c r="D38" i="5"/>
  <c r="E38" i="5"/>
  <c r="C38" i="5"/>
  <c r="D37" i="5"/>
  <c r="E37" i="5"/>
  <c r="C37" i="5"/>
  <c r="D36" i="5"/>
  <c r="E36" i="5"/>
  <c r="C36" i="5"/>
  <c r="D35" i="5"/>
  <c r="E35" i="5"/>
  <c r="C35" i="5"/>
  <c r="D34" i="5"/>
  <c r="E34" i="5"/>
  <c r="C34" i="5"/>
  <c r="D33" i="5"/>
  <c r="E33" i="5"/>
  <c r="C33" i="5"/>
  <c r="D32" i="5"/>
  <c r="E32" i="5"/>
  <c r="C32" i="5"/>
  <c r="D31" i="5"/>
  <c r="E31" i="5"/>
  <c r="C31" i="5"/>
  <c r="D30" i="5"/>
  <c r="E30" i="5"/>
  <c r="C30" i="5"/>
  <c r="D29" i="5"/>
  <c r="E29" i="5"/>
  <c r="C29" i="5"/>
  <c r="D28" i="5"/>
  <c r="E28" i="5"/>
  <c r="C28" i="5"/>
  <c r="D27" i="5"/>
  <c r="E27" i="5"/>
  <c r="C27" i="5"/>
  <c r="D26" i="5"/>
  <c r="E26" i="5"/>
  <c r="C26" i="5"/>
  <c r="D25" i="5"/>
  <c r="E25" i="5"/>
  <c r="C25" i="5"/>
  <c r="D24" i="5"/>
  <c r="E24" i="5"/>
  <c r="C24" i="5"/>
  <c r="D23" i="5"/>
  <c r="E23" i="5"/>
  <c r="C23" i="5"/>
  <c r="D22" i="5"/>
  <c r="E22" i="5"/>
  <c r="C22" i="5"/>
  <c r="D21" i="5"/>
  <c r="E21" i="5"/>
  <c r="C21" i="5"/>
  <c r="D20" i="5"/>
  <c r="E20" i="5"/>
  <c r="C20" i="5"/>
  <c r="D19" i="5"/>
  <c r="E19" i="5"/>
  <c r="C19" i="5"/>
  <c r="D18" i="5"/>
  <c r="E18" i="5"/>
  <c r="C18" i="5"/>
  <c r="D17" i="5"/>
  <c r="E17" i="5"/>
  <c r="C17" i="5"/>
  <c r="D16" i="5"/>
  <c r="E16" i="5"/>
  <c r="C16" i="5"/>
  <c r="D15" i="5"/>
  <c r="E15" i="5"/>
  <c r="C15" i="5"/>
  <c r="D14" i="5"/>
  <c r="E14" i="5"/>
  <c r="C14" i="5"/>
  <c r="D13" i="5"/>
  <c r="E13" i="5"/>
  <c r="C13" i="5"/>
  <c r="D12" i="5"/>
  <c r="E12" i="5"/>
  <c r="C12" i="5"/>
  <c r="D11" i="5"/>
  <c r="E11" i="5"/>
  <c r="C11" i="5"/>
  <c r="D10" i="5"/>
  <c r="E10" i="5"/>
  <c r="C10" i="5"/>
  <c r="H20" i="75"/>
  <c r="G20" i="75" s="1"/>
  <c r="B13" i="6" s="1"/>
  <c r="F20" i="75"/>
  <c r="D20" i="75"/>
  <c r="B20" i="75"/>
  <c r="I17" i="75"/>
  <c r="I16" i="75"/>
  <c r="I15" i="75"/>
  <c r="I14" i="75"/>
  <c r="I13" i="75"/>
  <c r="I12" i="75"/>
  <c r="I11" i="75"/>
  <c r="I10" i="75"/>
  <c r="I9" i="75"/>
  <c r="I8" i="75"/>
  <c r="I7" i="75"/>
  <c r="I6" i="75"/>
  <c r="F3" i="75"/>
  <c r="E14" i="6" s="1"/>
  <c r="H20" i="74"/>
  <c r="G20" i="74" s="1"/>
  <c r="B11" i="6" s="1"/>
  <c r="F20" i="74"/>
  <c r="D20" i="74"/>
  <c r="B20" i="74"/>
  <c r="I17" i="74"/>
  <c r="I16" i="74"/>
  <c r="I15" i="74"/>
  <c r="I14" i="74"/>
  <c r="I13" i="74"/>
  <c r="I12" i="74"/>
  <c r="I11" i="74"/>
  <c r="I10" i="74"/>
  <c r="F3" i="74"/>
  <c r="E12" i="6" s="1"/>
  <c r="H20" i="73"/>
  <c r="G20" i="73" s="1"/>
  <c r="B9" i="6" s="1"/>
  <c r="F20" i="73"/>
  <c r="D20" i="73"/>
  <c r="B20" i="73"/>
  <c r="I17" i="73"/>
  <c r="I16" i="73"/>
  <c r="I15" i="73"/>
  <c r="I14" i="73"/>
  <c r="I13" i="73"/>
  <c r="I12" i="73"/>
  <c r="I11" i="73"/>
  <c r="I10" i="73"/>
  <c r="I9" i="73"/>
  <c r="F3" i="73"/>
  <c r="E10" i="6" s="1"/>
  <c r="H20" i="72"/>
  <c r="G20" i="72" s="1"/>
  <c r="B7" i="6" s="1"/>
  <c r="F20" i="72"/>
  <c r="D20" i="72"/>
  <c r="B20" i="72"/>
  <c r="I17" i="72"/>
  <c r="I16" i="72"/>
  <c r="I15" i="72"/>
  <c r="I14" i="72"/>
  <c r="I13" i="72"/>
  <c r="I12" i="72"/>
  <c r="I11" i="72"/>
  <c r="I10" i="72"/>
  <c r="F3" i="72"/>
  <c r="E8" i="6" s="1"/>
  <c r="H20" i="71"/>
  <c r="G20" i="71" s="1"/>
  <c r="B5" i="6" s="1"/>
  <c r="F20" i="71"/>
  <c r="D20" i="71"/>
  <c r="B20" i="71"/>
  <c r="A20" i="71" s="1"/>
  <c r="I17" i="71"/>
  <c r="I16" i="71"/>
  <c r="I15" i="71"/>
  <c r="I14" i="71"/>
  <c r="I13" i="71"/>
  <c r="I12" i="71"/>
  <c r="I11" i="71"/>
  <c r="I10" i="71"/>
  <c r="I9" i="71"/>
  <c r="F3" i="71"/>
  <c r="E6" i="6" s="1"/>
  <c r="H20" i="70"/>
  <c r="G20" i="70" s="1"/>
  <c r="B3" i="6" s="1"/>
  <c r="F20" i="70"/>
  <c r="D20" i="70"/>
  <c r="B20" i="70"/>
  <c r="I17" i="70"/>
  <c r="I16" i="70"/>
  <c r="I15" i="70"/>
  <c r="I14" i="70"/>
  <c r="I13" i="70"/>
  <c r="I12" i="70"/>
  <c r="I11" i="70"/>
  <c r="I10" i="70"/>
  <c r="I9" i="70"/>
  <c r="I8" i="70"/>
  <c r="I7" i="70"/>
  <c r="F3" i="70"/>
  <c r="E4" i="6" s="1"/>
  <c r="H20" i="69"/>
  <c r="G20" i="69" s="1"/>
  <c r="B77" i="6" s="1"/>
  <c r="F20" i="69"/>
  <c r="D20" i="69"/>
  <c r="B20" i="69"/>
  <c r="I17" i="69"/>
  <c r="I16" i="69"/>
  <c r="I15" i="69"/>
  <c r="I14" i="69"/>
  <c r="I13" i="69"/>
  <c r="I12" i="69"/>
  <c r="I11" i="69"/>
  <c r="I10" i="69"/>
  <c r="I9" i="69"/>
  <c r="I8" i="69"/>
  <c r="F3" i="69"/>
  <c r="H20" i="68"/>
  <c r="G20" i="68" s="1"/>
  <c r="B75" i="6" s="1"/>
  <c r="F20" i="68"/>
  <c r="D20" i="68"/>
  <c r="B20" i="68"/>
  <c r="A20" i="68"/>
  <c r="C20" i="68" s="1"/>
  <c r="I6" i="68" s="1"/>
  <c r="I17" i="68"/>
  <c r="I16" i="68"/>
  <c r="I15" i="68"/>
  <c r="I14" i="68"/>
  <c r="I13" i="68"/>
  <c r="I12" i="68"/>
  <c r="I11" i="68"/>
  <c r="I10" i="68"/>
  <c r="I9" i="68"/>
  <c r="I8" i="68"/>
  <c r="I7" i="68"/>
  <c r="F3" i="68"/>
  <c r="E76" i="6" s="1"/>
  <c r="H20" i="67"/>
  <c r="G20" i="67" s="1"/>
  <c r="B73" i="6" s="1"/>
  <c r="F20" i="67"/>
  <c r="D20" i="67"/>
  <c r="B20" i="67"/>
  <c r="I17" i="67"/>
  <c r="I16" i="67"/>
  <c r="I15" i="67"/>
  <c r="I14" i="67"/>
  <c r="I13" i="67"/>
  <c r="I12" i="67"/>
  <c r="I11" i="67"/>
  <c r="F3" i="67"/>
  <c r="E74" i="6" s="1"/>
  <c r="H20" i="66"/>
  <c r="G20" i="66" s="1"/>
  <c r="B71" i="6" s="1"/>
  <c r="F20" i="66"/>
  <c r="D20" i="66"/>
  <c r="B20" i="66"/>
  <c r="A20" i="66"/>
  <c r="C20" i="66" s="1"/>
  <c r="I17" i="66"/>
  <c r="I16" i="66"/>
  <c r="I15" i="66"/>
  <c r="I14" i="66"/>
  <c r="I13" i="66"/>
  <c r="I12" i="66"/>
  <c r="I11" i="66"/>
  <c r="I10" i="66"/>
  <c r="F3" i="66"/>
  <c r="E72" i="6" s="1"/>
  <c r="H20" i="65"/>
  <c r="G20" i="65" s="1"/>
  <c r="B69" i="6" s="1"/>
  <c r="F20" i="65"/>
  <c r="D20" i="65"/>
  <c r="B20" i="65"/>
  <c r="I17" i="65"/>
  <c r="I16" i="65"/>
  <c r="I15" i="65"/>
  <c r="I14" i="65"/>
  <c r="I13" i="65"/>
  <c r="I12" i="65"/>
  <c r="I11" i="65"/>
  <c r="I10" i="65"/>
  <c r="I9" i="65"/>
  <c r="I8" i="65"/>
  <c r="I7" i="65"/>
  <c r="I6" i="65"/>
  <c r="F3" i="65"/>
  <c r="E70" i="6" s="1"/>
  <c r="F70" i="6" s="1"/>
  <c r="H20" i="64"/>
  <c r="G20" i="64" s="1"/>
  <c r="B67" i="6" s="1"/>
  <c r="F20" i="64"/>
  <c r="D20" i="64"/>
  <c r="B20" i="64"/>
  <c r="A20" i="64"/>
  <c r="I17" i="64"/>
  <c r="I16" i="64"/>
  <c r="I15" i="64"/>
  <c r="I14" i="64"/>
  <c r="I13" i="64"/>
  <c r="I12" i="64"/>
  <c r="I11" i="64"/>
  <c r="I10" i="64"/>
  <c r="I9" i="64"/>
  <c r="I8" i="64"/>
  <c r="I7" i="64"/>
  <c r="I6" i="64"/>
  <c r="F3" i="64"/>
  <c r="E68" i="6" s="1"/>
  <c r="H20" i="63"/>
  <c r="G20" i="63" s="1"/>
  <c r="B65" i="6" s="1"/>
  <c r="F20" i="63"/>
  <c r="D20" i="63"/>
  <c r="B20" i="63"/>
  <c r="I17" i="63"/>
  <c r="I16" i="63"/>
  <c r="I15" i="63"/>
  <c r="I14" i="63"/>
  <c r="I13" i="63"/>
  <c r="I12" i="63"/>
  <c r="I11" i="63"/>
  <c r="I10" i="63"/>
  <c r="I9" i="63"/>
  <c r="I8" i="63"/>
  <c r="I7" i="63"/>
  <c r="I6" i="63"/>
  <c r="F3" i="63"/>
  <c r="E66" i="6" s="1"/>
  <c r="H20" i="62"/>
  <c r="G20" i="62" s="1"/>
  <c r="B63" i="6" s="1"/>
  <c r="F20" i="62"/>
  <c r="D20" i="62"/>
  <c r="B20" i="62"/>
  <c r="A20" i="62" s="1"/>
  <c r="I17" i="62"/>
  <c r="I16" i="62"/>
  <c r="I15" i="62"/>
  <c r="I14" i="62"/>
  <c r="I13" i="62"/>
  <c r="I12" i="62"/>
  <c r="I11" i="62"/>
  <c r="I10" i="62"/>
  <c r="I9" i="62"/>
  <c r="F3" i="62"/>
  <c r="E64" i="6" s="1"/>
  <c r="H20" i="61"/>
  <c r="G20" i="61" s="1"/>
  <c r="B61" i="6" s="1"/>
  <c r="F20" i="61"/>
  <c r="D20" i="61"/>
  <c r="B20" i="61"/>
  <c r="I17" i="61"/>
  <c r="I16" i="61"/>
  <c r="I15" i="61"/>
  <c r="I14" i="61"/>
  <c r="I13" i="61"/>
  <c r="I12" i="61"/>
  <c r="I11" i="61"/>
  <c r="I10" i="61"/>
  <c r="I9" i="61"/>
  <c r="I8" i="61"/>
  <c r="I7" i="61"/>
  <c r="F3" i="61"/>
  <c r="E62" i="6" s="1"/>
  <c r="H20" i="60"/>
  <c r="G20" i="60" s="1"/>
  <c r="B59" i="6" s="1"/>
  <c r="F20" i="60"/>
  <c r="D20" i="60"/>
  <c r="B20" i="60"/>
  <c r="A20" i="60" s="1"/>
  <c r="I17" i="60"/>
  <c r="I16" i="60"/>
  <c r="I15" i="60"/>
  <c r="I14" i="60"/>
  <c r="I13" i="60"/>
  <c r="I12" i="60"/>
  <c r="I11" i="60"/>
  <c r="I10" i="60"/>
  <c r="I9" i="60"/>
  <c r="I8" i="60"/>
  <c r="I7" i="60"/>
  <c r="F3" i="60"/>
  <c r="E60" i="6" s="1"/>
  <c r="H20" i="59"/>
  <c r="G20" i="59" s="1"/>
  <c r="B57" i="6" s="1"/>
  <c r="F20" i="59"/>
  <c r="D20" i="59"/>
  <c r="B20" i="59"/>
  <c r="I17" i="59"/>
  <c r="I16" i="59"/>
  <c r="I15" i="59"/>
  <c r="I14" i="59"/>
  <c r="I13" i="59"/>
  <c r="I12" i="59"/>
  <c r="I11" i="59"/>
  <c r="I10" i="59"/>
  <c r="I9" i="59"/>
  <c r="I8" i="59"/>
  <c r="F3" i="59"/>
  <c r="E58" i="6" s="1"/>
  <c r="H20" i="58"/>
  <c r="G20" i="58" s="1"/>
  <c r="B55" i="6" s="1"/>
  <c r="F20" i="58"/>
  <c r="D20" i="58"/>
  <c r="B20" i="58"/>
  <c r="A20" i="58" s="1"/>
  <c r="I17" i="58"/>
  <c r="I16" i="58"/>
  <c r="I15" i="58"/>
  <c r="I14" i="58"/>
  <c r="I13" i="58"/>
  <c r="I12" i="58"/>
  <c r="I11" i="58"/>
  <c r="I10" i="58"/>
  <c r="I9" i="58"/>
  <c r="I8" i="58"/>
  <c r="F3" i="58"/>
  <c r="E56" i="6" s="1"/>
  <c r="H20" i="57"/>
  <c r="G20" i="57" s="1"/>
  <c r="B53" i="6" s="1"/>
  <c r="F20" i="57"/>
  <c r="D20" i="57"/>
  <c r="B20" i="57"/>
  <c r="I17" i="57"/>
  <c r="I16" i="57"/>
  <c r="I15" i="57"/>
  <c r="I14" i="57"/>
  <c r="I13" i="57"/>
  <c r="I12" i="57"/>
  <c r="I11" i="57"/>
  <c r="I10" i="57"/>
  <c r="I9" i="57"/>
  <c r="I8" i="57"/>
  <c r="F3" i="57"/>
  <c r="E54" i="6" s="1"/>
  <c r="H20" i="56"/>
  <c r="G20" i="56" s="1"/>
  <c r="B51" i="6" s="1"/>
  <c r="F20" i="56"/>
  <c r="D20" i="56"/>
  <c r="B20" i="56"/>
  <c r="A20" i="56" s="1"/>
  <c r="I17" i="56"/>
  <c r="I16" i="56"/>
  <c r="I15" i="56"/>
  <c r="I14" i="56"/>
  <c r="I13" i="56"/>
  <c r="I12" i="56"/>
  <c r="I11" i="56"/>
  <c r="I10" i="56"/>
  <c r="F3" i="56"/>
  <c r="E52" i="6" s="1"/>
  <c r="H20" i="55"/>
  <c r="G20" i="55" s="1"/>
  <c r="B49" i="6" s="1"/>
  <c r="F20" i="55"/>
  <c r="D20" i="55"/>
  <c r="B20" i="55"/>
  <c r="I17" i="55"/>
  <c r="I16" i="55"/>
  <c r="I15" i="55"/>
  <c r="I14" i="55"/>
  <c r="I13" i="55"/>
  <c r="I12" i="55"/>
  <c r="I11" i="55"/>
  <c r="I10" i="55"/>
  <c r="I9" i="55"/>
  <c r="I8" i="55"/>
  <c r="F3" i="55"/>
  <c r="E50" i="6" s="1"/>
  <c r="H20" i="54"/>
  <c r="G20" i="54" s="1"/>
  <c r="B47" i="6" s="1"/>
  <c r="F20" i="54"/>
  <c r="D20" i="54"/>
  <c r="B20" i="54"/>
  <c r="I17" i="54"/>
  <c r="I16" i="54"/>
  <c r="I15" i="54"/>
  <c r="I14" i="54"/>
  <c r="I13" i="54"/>
  <c r="I12" i="54"/>
  <c r="I11" i="54"/>
  <c r="F3" i="54"/>
  <c r="E48" i="6" s="1"/>
  <c r="H20" i="53"/>
  <c r="G20" i="53" s="1"/>
  <c r="B45" i="6" s="1"/>
  <c r="F20" i="53"/>
  <c r="D20" i="53"/>
  <c r="B20" i="53"/>
  <c r="I17" i="53"/>
  <c r="I16" i="53"/>
  <c r="I15" i="53"/>
  <c r="I14" i="53"/>
  <c r="I13" i="53"/>
  <c r="I12" i="53"/>
  <c r="I11" i="53"/>
  <c r="I10" i="53"/>
  <c r="I9" i="53"/>
  <c r="I8" i="53"/>
  <c r="F3" i="53"/>
  <c r="E46" i="6" s="1"/>
  <c r="H20" i="52"/>
  <c r="G20" i="52" s="1"/>
  <c r="B43" i="6" s="1"/>
  <c r="F20" i="52"/>
  <c r="D20" i="52"/>
  <c r="B20" i="52"/>
  <c r="I17" i="52"/>
  <c r="I16" i="52"/>
  <c r="I15" i="52"/>
  <c r="I14" i="52"/>
  <c r="I13" i="52"/>
  <c r="I12" i="52"/>
  <c r="I11" i="52"/>
  <c r="I10" i="52"/>
  <c r="I9" i="52"/>
  <c r="F3" i="52"/>
  <c r="E44" i="6" s="1"/>
  <c r="H20" i="51"/>
  <c r="G20" i="51" s="1"/>
  <c r="B41" i="6" s="1"/>
  <c r="F20" i="51"/>
  <c r="D20" i="51"/>
  <c r="B20" i="51"/>
  <c r="I17" i="51"/>
  <c r="I16" i="51"/>
  <c r="I15" i="51"/>
  <c r="I14" i="51"/>
  <c r="I13" i="51"/>
  <c r="I12" i="51"/>
  <c r="I11" i="51"/>
  <c r="I10" i="51"/>
  <c r="F3" i="51"/>
  <c r="E42" i="6" s="1"/>
  <c r="H20" i="50"/>
  <c r="G20" i="50" s="1"/>
  <c r="B39" i="6" s="1"/>
  <c r="F20" i="50"/>
  <c r="D20" i="50"/>
  <c r="B20" i="50"/>
  <c r="I17" i="50"/>
  <c r="I16" i="50"/>
  <c r="I15" i="50"/>
  <c r="I14" i="50"/>
  <c r="I13" i="50"/>
  <c r="I12" i="50"/>
  <c r="I11" i="50"/>
  <c r="I10" i="50"/>
  <c r="F3" i="50"/>
  <c r="E40" i="6" s="1"/>
  <c r="F40" i="6" s="1"/>
  <c r="H20" i="49"/>
  <c r="G20" i="49" s="1"/>
  <c r="B37" i="6" s="1"/>
  <c r="F20" i="49"/>
  <c r="D20" i="49"/>
  <c r="B20" i="49"/>
  <c r="I17" i="49"/>
  <c r="I16" i="49"/>
  <c r="I15" i="49"/>
  <c r="I14" i="49"/>
  <c r="I13" i="49"/>
  <c r="I12" i="49"/>
  <c r="I11" i="49"/>
  <c r="I10" i="49"/>
  <c r="I9" i="49"/>
  <c r="F3" i="49"/>
  <c r="E38" i="6" s="1"/>
  <c r="H20" i="48"/>
  <c r="G20" i="48" s="1"/>
  <c r="B35" i="6" s="1"/>
  <c r="F20" i="48"/>
  <c r="D20" i="48"/>
  <c r="B20" i="48"/>
  <c r="I17" i="48"/>
  <c r="I16" i="48"/>
  <c r="I15" i="48"/>
  <c r="I14" i="48"/>
  <c r="I13" i="48"/>
  <c r="I12" i="48"/>
  <c r="I11" i="48"/>
  <c r="I10" i="48"/>
  <c r="I9" i="48"/>
  <c r="I8" i="48"/>
  <c r="I7" i="48"/>
  <c r="F3" i="48"/>
  <c r="E36" i="6" s="1"/>
  <c r="H20" i="47"/>
  <c r="G20" i="47" s="1"/>
  <c r="B33" i="6" s="1"/>
  <c r="F20" i="47"/>
  <c r="D20" i="47"/>
  <c r="B20" i="47"/>
  <c r="I17" i="47"/>
  <c r="I16" i="47"/>
  <c r="I15" i="47"/>
  <c r="I14" i="47"/>
  <c r="I13" i="47"/>
  <c r="I12" i="47"/>
  <c r="I11" i="47"/>
  <c r="I10" i="47"/>
  <c r="I9" i="47"/>
  <c r="I8" i="47"/>
  <c r="I7" i="47"/>
  <c r="F3" i="47"/>
  <c r="E34" i="6" s="1"/>
  <c r="H20" i="46"/>
  <c r="G20" i="46" s="1"/>
  <c r="B31" i="6" s="1"/>
  <c r="F20" i="46"/>
  <c r="D20" i="46"/>
  <c r="B20" i="46"/>
  <c r="I17" i="46"/>
  <c r="I16" i="46"/>
  <c r="I15" i="46"/>
  <c r="I14" i="46"/>
  <c r="I13" i="46"/>
  <c r="I12" i="46"/>
  <c r="I11" i="46"/>
  <c r="I10" i="46"/>
  <c r="I9" i="46"/>
  <c r="I8" i="46"/>
  <c r="F3" i="46"/>
  <c r="E32" i="6" s="1"/>
  <c r="H20" i="45"/>
  <c r="G20" i="45" s="1"/>
  <c r="B29" i="6" s="1"/>
  <c r="F20" i="45"/>
  <c r="D20" i="45"/>
  <c r="B20" i="45"/>
  <c r="I17" i="45"/>
  <c r="I16" i="45"/>
  <c r="I15" i="45"/>
  <c r="I14" i="45"/>
  <c r="I13" i="45"/>
  <c r="I12" i="45"/>
  <c r="I11" i="45"/>
  <c r="I10" i="45"/>
  <c r="F3" i="45"/>
  <c r="E30" i="6" s="1"/>
  <c r="H20" i="44"/>
  <c r="G20" i="44" s="1"/>
  <c r="B27" i="6" s="1"/>
  <c r="F20" i="44"/>
  <c r="D20" i="44"/>
  <c r="B20" i="44"/>
  <c r="I17" i="44"/>
  <c r="I16" i="44"/>
  <c r="I15" i="44"/>
  <c r="I14" i="44"/>
  <c r="I13" i="44"/>
  <c r="I12" i="44"/>
  <c r="I11" i="44"/>
  <c r="I10" i="44"/>
  <c r="F3" i="44"/>
  <c r="E28" i="6" s="1"/>
  <c r="H20" i="43"/>
  <c r="G20" i="43" s="1"/>
  <c r="B25" i="6" s="1"/>
  <c r="F20" i="43"/>
  <c r="D20" i="43"/>
  <c r="B20" i="43"/>
  <c r="I17" i="43"/>
  <c r="I16" i="43"/>
  <c r="I15" i="43"/>
  <c r="I14" i="43"/>
  <c r="I13" i="43"/>
  <c r="I12" i="43"/>
  <c r="I11" i="43"/>
  <c r="I10" i="43"/>
  <c r="I9" i="43"/>
  <c r="F3" i="43"/>
  <c r="E26" i="6" s="1"/>
  <c r="H20" i="42"/>
  <c r="G20" i="42" s="1"/>
  <c r="B23" i="6" s="1"/>
  <c r="F20" i="42"/>
  <c r="D20" i="42"/>
  <c r="B20" i="42"/>
  <c r="I17" i="42"/>
  <c r="I16" i="42"/>
  <c r="I15" i="42"/>
  <c r="I14" i="42"/>
  <c r="I13" i="42"/>
  <c r="I12" i="42"/>
  <c r="I11" i="42"/>
  <c r="F3" i="42"/>
  <c r="E24" i="6" s="1"/>
  <c r="H20" i="41"/>
  <c r="G20" i="41" s="1"/>
  <c r="B21" i="6" s="1"/>
  <c r="F20" i="41"/>
  <c r="D20" i="41"/>
  <c r="B20" i="41"/>
  <c r="A20" i="41" s="1"/>
  <c r="I17" i="41"/>
  <c r="I16" i="41"/>
  <c r="I15" i="41"/>
  <c r="I14" i="41"/>
  <c r="I13" i="41"/>
  <c r="I12" i="41"/>
  <c r="I11" i="41"/>
  <c r="I10" i="41"/>
  <c r="I9" i="41"/>
  <c r="F3" i="41"/>
  <c r="E22" i="6" s="1"/>
  <c r="H20" i="40"/>
  <c r="G20" i="40" s="1"/>
  <c r="B19" i="6" s="1"/>
  <c r="F20" i="40"/>
  <c r="D20" i="40"/>
  <c r="B20" i="40"/>
  <c r="I17" i="40"/>
  <c r="I16" i="40"/>
  <c r="I15" i="40"/>
  <c r="I14" i="40"/>
  <c r="I13" i="40"/>
  <c r="I12" i="40"/>
  <c r="I11" i="40"/>
  <c r="I10" i="40"/>
  <c r="F3" i="40"/>
  <c r="E20" i="6" s="1"/>
  <c r="H20" i="39"/>
  <c r="G20" i="39" s="1"/>
  <c r="B17" i="6" s="1"/>
  <c r="F20" i="39"/>
  <c r="D20" i="39"/>
  <c r="B20" i="39"/>
  <c r="A20" i="39" s="1"/>
  <c r="C20" i="39" s="1"/>
  <c r="I8" i="39" s="1"/>
  <c r="I17" i="39"/>
  <c r="I16" i="39"/>
  <c r="I15" i="39"/>
  <c r="I14" i="39"/>
  <c r="I13" i="39"/>
  <c r="I12" i="39"/>
  <c r="I11" i="39"/>
  <c r="I10" i="39"/>
  <c r="F3" i="39"/>
  <c r="E18" i="6" s="1"/>
  <c r="H20" i="38"/>
  <c r="G20" i="38" s="1"/>
  <c r="B15" i="6" s="1"/>
  <c r="F20" i="38"/>
  <c r="D20" i="38"/>
  <c r="B20" i="38"/>
  <c r="I17" i="38"/>
  <c r="I16" i="38"/>
  <c r="I15" i="38"/>
  <c r="I14" i="38"/>
  <c r="I13" i="38"/>
  <c r="I12" i="38"/>
  <c r="I11" i="38"/>
  <c r="I10" i="38"/>
  <c r="I9" i="38"/>
  <c r="I8" i="38"/>
  <c r="I7" i="38"/>
  <c r="F3" i="38"/>
  <c r="E16" i="6" s="1"/>
  <c r="H20" i="33"/>
  <c r="G20" i="33" s="1"/>
  <c r="F20" i="33"/>
  <c r="D20" i="33"/>
  <c r="B20" i="33"/>
  <c r="I17" i="33"/>
  <c r="I16" i="33"/>
  <c r="I15" i="33"/>
  <c r="I14" i="33"/>
  <c r="I13" i="33"/>
  <c r="I12" i="33"/>
  <c r="I11" i="33"/>
  <c r="I10" i="33"/>
  <c r="I9" i="33"/>
  <c r="I8" i="33"/>
  <c r="I7" i="33"/>
  <c r="I6" i="33"/>
  <c r="F3" i="33"/>
  <c r="H20" i="32"/>
  <c r="G20" i="32"/>
  <c r="F20" i="32"/>
  <c r="D20" i="32"/>
  <c r="B20" i="32"/>
  <c r="A20" i="32"/>
  <c r="C20" i="32" s="1"/>
  <c r="I17" i="32"/>
  <c r="I16" i="32"/>
  <c r="I15" i="32"/>
  <c r="I14" i="32"/>
  <c r="I13" i="32"/>
  <c r="I12" i="32"/>
  <c r="I11" i="32"/>
  <c r="I10" i="32"/>
  <c r="I9" i="32"/>
  <c r="I8" i="32"/>
  <c r="I7" i="32"/>
  <c r="I6" i="32"/>
  <c r="F3" i="32"/>
  <c r="H20" i="31"/>
  <c r="G20" i="31" s="1"/>
  <c r="F20" i="31"/>
  <c r="D20" i="31"/>
  <c r="B20" i="31"/>
  <c r="I17" i="31"/>
  <c r="I16" i="31"/>
  <c r="I15" i="31"/>
  <c r="I14" i="31"/>
  <c r="I13" i="31"/>
  <c r="I12" i="31"/>
  <c r="I11" i="31"/>
  <c r="I10" i="31"/>
  <c r="I9" i="31"/>
  <c r="I8" i="31"/>
  <c r="I7" i="31"/>
  <c r="I6" i="31"/>
  <c r="F3" i="31"/>
  <c r="H20" i="30"/>
  <c r="G20" i="30"/>
  <c r="F20" i="30"/>
  <c r="D20" i="30"/>
  <c r="C20" i="30"/>
  <c r="I3" i="30" s="1"/>
  <c r="B20" i="30"/>
  <c r="A20" i="30"/>
  <c r="I17" i="30"/>
  <c r="I16" i="30"/>
  <c r="I15" i="30"/>
  <c r="I14" i="30"/>
  <c r="I13" i="30"/>
  <c r="I12" i="30"/>
  <c r="I11" i="30"/>
  <c r="I10" i="30"/>
  <c r="I9" i="30"/>
  <c r="I8" i="30"/>
  <c r="I7" i="30"/>
  <c r="I6" i="30"/>
  <c r="I4" i="30"/>
  <c r="F3" i="30"/>
  <c r="H20" i="29"/>
  <c r="G20" i="29" s="1"/>
  <c r="F20" i="29"/>
  <c r="D20" i="29"/>
  <c r="B20" i="29"/>
  <c r="I17" i="29"/>
  <c r="I16" i="29"/>
  <c r="I15" i="29"/>
  <c r="I14" i="29"/>
  <c r="I13" i="29"/>
  <c r="I12" i="29"/>
  <c r="I11" i="29"/>
  <c r="I10" i="29"/>
  <c r="I9" i="29"/>
  <c r="I8" i="29"/>
  <c r="I7" i="29"/>
  <c r="I6" i="29"/>
  <c r="F3" i="29"/>
  <c r="H20" i="28"/>
  <c r="G20" i="28"/>
  <c r="F20" i="28"/>
  <c r="D20" i="28"/>
  <c r="B20" i="28"/>
  <c r="A20" i="28"/>
  <c r="C20" i="28" s="1"/>
  <c r="I17" i="28"/>
  <c r="I16" i="28"/>
  <c r="I15" i="28"/>
  <c r="I14" i="28"/>
  <c r="I13" i="28"/>
  <c r="I12" i="28"/>
  <c r="I11" i="28"/>
  <c r="I10" i="28"/>
  <c r="I9" i="28"/>
  <c r="I8" i="28"/>
  <c r="I7" i="28"/>
  <c r="I6" i="28"/>
  <c r="F3" i="28"/>
  <c r="H20" i="27"/>
  <c r="G20" i="27" s="1"/>
  <c r="F20" i="27"/>
  <c r="D20" i="27"/>
  <c r="B20" i="27"/>
  <c r="I17" i="27"/>
  <c r="I16" i="27"/>
  <c r="I15" i="27"/>
  <c r="I14" i="27"/>
  <c r="I13" i="27"/>
  <c r="I12" i="27"/>
  <c r="I11" i="27"/>
  <c r="I10" i="27"/>
  <c r="I9" i="27"/>
  <c r="I8" i="27"/>
  <c r="I7" i="27"/>
  <c r="I6" i="27"/>
  <c r="F3" i="27"/>
  <c r="H20" i="26"/>
  <c r="G20" i="26"/>
  <c r="F20" i="26"/>
  <c r="D20" i="26"/>
  <c r="C20" i="26"/>
  <c r="I3" i="26" s="1"/>
  <c r="B20" i="26"/>
  <c r="A20" i="26"/>
  <c r="I17" i="26"/>
  <c r="I16" i="26"/>
  <c r="I15" i="26"/>
  <c r="I14" i="26"/>
  <c r="I13" i="26"/>
  <c r="I12" i="26"/>
  <c r="I11" i="26"/>
  <c r="I10" i="26"/>
  <c r="I9" i="26"/>
  <c r="I8" i="26"/>
  <c r="I7" i="26"/>
  <c r="I6" i="26"/>
  <c r="I4" i="26"/>
  <c r="F3" i="26"/>
  <c r="H20" i="25"/>
  <c r="G20" i="25" s="1"/>
  <c r="F20" i="25"/>
  <c r="D20" i="25"/>
  <c r="B20" i="25"/>
  <c r="I17" i="25"/>
  <c r="I16" i="25"/>
  <c r="I15" i="25"/>
  <c r="I14" i="25"/>
  <c r="I13" i="25"/>
  <c r="I12" i="25"/>
  <c r="I11" i="25"/>
  <c r="I10" i="25"/>
  <c r="I9" i="25"/>
  <c r="I8" i="25"/>
  <c r="I7" i="25"/>
  <c r="I6" i="25"/>
  <c r="F3" i="25"/>
  <c r="H20" i="24"/>
  <c r="G20" i="24"/>
  <c r="F20" i="24"/>
  <c r="D20" i="24"/>
  <c r="B20" i="24"/>
  <c r="A20" i="24"/>
  <c r="C20" i="24" s="1"/>
  <c r="I17" i="24"/>
  <c r="I16" i="24"/>
  <c r="I15" i="24"/>
  <c r="I14" i="24"/>
  <c r="I13" i="24"/>
  <c r="I12" i="24"/>
  <c r="I11" i="24"/>
  <c r="I10" i="24"/>
  <c r="I9" i="24"/>
  <c r="I8" i="24"/>
  <c r="I7" i="24"/>
  <c r="I6" i="24"/>
  <c r="F3" i="24"/>
  <c r="H20" i="23"/>
  <c r="G20" i="23" s="1"/>
  <c r="F20" i="23"/>
  <c r="D20" i="23"/>
  <c r="B20" i="23"/>
  <c r="I17" i="23"/>
  <c r="I16" i="23"/>
  <c r="I15" i="23"/>
  <c r="I14" i="23"/>
  <c r="I13" i="23"/>
  <c r="I12" i="23"/>
  <c r="I11" i="23"/>
  <c r="I10" i="23"/>
  <c r="I9" i="23"/>
  <c r="I8" i="23"/>
  <c r="I7" i="23"/>
  <c r="I6" i="23"/>
  <c r="F3" i="23"/>
  <c r="H20" i="22"/>
  <c r="G20" i="22" s="1"/>
  <c r="F20" i="22"/>
  <c r="D20" i="22"/>
  <c r="B20" i="22"/>
  <c r="C20" i="22" s="1"/>
  <c r="A20" i="22"/>
  <c r="I17" i="22"/>
  <c r="I16" i="22"/>
  <c r="I15" i="22"/>
  <c r="I14" i="22"/>
  <c r="I13" i="22"/>
  <c r="I12" i="22"/>
  <c r="I11" i="22"/>
  <c r="I10" i="22"/>
  <c r="I9" i="22"/>
  <c r="I8" i="22"/>
  <c r="I7" i="22"/>
  <c r="F3" i="22"/>
  <c r="F60" i="6" l="1"/>
  <c r="I3" i="22"/>
  <c r="E20" i="22" s="1"/>
  <c r="H22" i="22" s="1"/>
  <c r="H23" i="22" s="1"/>
  <c r="I4" i="22"/>
  <c r="I6" i="22"/>
  <c r="I3" i="66"/>
  <c r="I9" i="66"/>
  <c r="I8" i="66"/>
  <c r="I7" i="66"/>
  <c r="I6" i="66"/>
  <c r="I4" i="66"/>
  <c r="C20" i="64"/>
  <c r="I4" i="64" s="1"/>
  <c r="C20" i="60"/>
  <c r="I6" i="60" s="1"/>
  <c r="C20" i="58"/>
  <c r="I7" i="58" s="1"/>
  <c r="C20" i="62"/>
  <c r="I8" i="62" s="1"/>
  <c r="C20" i="56"/>
  <c r="C20" i="41"/>
  <c r="I8" i="41" s="1"/>
  <c r="I7" i="39"/>
  <c r="I9" i="39"/>
  <c r="I6" i="39"/>
  <c r="A20" i="72"/>
  <c r="C20" i="72" s="1"/>
  <c r="I9" i="72" s="1"/>
  <c r="C20" i="71"/>
  <c r="I7" i="71" s="1"/>
  <c r="I8" i="71"/>
  <c r="F62" i="6"/>
  <c r="F16" i="6"/>
  <c r="F64" i="6"/>
  <c r="F56" i="6"/>
  <c r="F76" i="6"/>
  <c r="F68" i="6"/>
  <c r="F32" i="6"/>
  <c r="F34" i="6"/>
  <c r="F42" i="6"/>
  <c r="F48" i="6"/>
  <c r="F50" i="6"/>
  <c r="F66" i="6"/>
  <c r="F74" i="6"/>
  <c r="F78" i="6"/>
  <c r="F8" i="6"/>
  <c r="F28" i="6"/>
  <c r="F44" i="6"/>
  <c r="F52" i="6"/>
  <c r="F58" i="6"/>
  <c r="F72" i="6"/>
  <c r="F24" i="6"/>
  <c r="F36" i="6"/>
  <c r="F6" i="6"/>
  <c r="F30" i="6"/>
  <c r="F46" i="6"/>
  <c r="F20" i="6"/>
  <c r="F38" i="6"/>
  <c r="F54" i="6"/>
  <c r="F12" i="6"/>
  <c r="F26" i="6"/>
  <c r="F22" i="6"/>
  <c r="F18" i="6"/>
  <c r="F14" i="6"/>
  <c r="F10" i="6"/>
  <c r="I3" i="71"/>
  <c r="A20" i="73"/>
  <c r="C20" i="73" s="1"/>
  <c r="I8" i="73" s="1"/>
  <c r="A20" i="75"/>
  <c r="C20" i="75" s="1"/>
  <c r="A20" i="70"/>
  <c r="C20" i="70" s="1"/>
  <c r="I6" i="70" s="1"/>
  <c r="A20" i="74"/>
  <c r="C20" i="74" s="1"/>
  <c r="I5" i="60"/>
  <c r="I4" i="60"/>
  <c r="I3" i="60"/>
  <c r="I5" i="68"/>
  <c r="I4" i="68"/>
  <c r="I3" i="68"/>
  <c r="E20" i="68" s="1"/>
  <c r="I5" i="39"/>
  <c r="I4" i="39"/>
  <c r="I3" i="39"/>
  <c r="E20" i="39" s="1"/>
  <c r="E3" i="39" s="1"/>
  <c r="F17" i="5" s="1"/>
  <c r="G17" i="5" s="1"/>
  <c r="I5" i="64"/>
  <c r="A20" i="43"/>
  <c r="C20" i="43" s="1"/>
  <c r="I7" i="43" s="1"/>
  <c r="A20" i="47"/>
  <c r="C20" i="47" s="1"/>
  <c r="I6" i="47" s="1"/>
  <c r="A20" i="51"/>
  <c r="C20" i="51" s="1"/>
  <c r="A20" i="55"/>
  <c r="C20" i="55" s="1"/>
  <c r="A20" i="59"/>
  <c r="C20" i="59" s="1"/>
  <c r="A20" i="63"/>
  <c r="C20" i="63" s="1"/>
  <c r="I5" i="66"/>
  <c r="A20" i="67"/>
  <c r="C20" i="67" s="1"/>
  <c r="A20" i="38"/>
  <c r="C20" i="38" s="1"/>
  <c r="I6" i="38" s="1"/>
  <c r="A20" i="42"/>
  <c r="C20" i="42" s="1"/>
  <c r="I10" i="42" s="1"/>
  <c r="A20" i="46"/>
  <c r="C20" i="46" s="1"/>
  <c r="A20" i="50"/>
  <c r="C20" i="50" s="1"/>
  <c r="A20" i="54"/>
  <c r="C20" i="54" s="1"/>
  <c r="I10" i="54" s="1"/>
  <c r="E20" i="66"/>
  <c r="E3" i="66" s="1"/>
  <c r="F44" i="5" s="1"/>
  <c r="G44" i="5" s="1"/>
  <c r="H22" i="66"/>
  <c r="H23" i="66" s="1"/>
  <c r="A20" i="45"/>
  <c r="C20" i="45" s="1"/>
  <c r="A20" i="49"/>
  <c r="C20" i="49" s="1"/>
  <c r="I6" i="49" s="1"/>
  <c r="A20" i="53"/>
  <c r="C20" i="53" s="1"/>
  <c r="A20" i="57"/>
  <c r="C20" i="57" s="1"/>
  <c r="A20" i="61"/>
  <c r="C20" i="61" s="1"/>
  <c r="I6" i="61" s="1"/>
  <c r="A20" i="65"/>
  <c r="C20" i="65" s="1"/>
  <c r="A20" i="69"/>
  <c r="C20" i="69" s="1"/>
  <c r="A20" i="40"/>
  <c r="C20" i="40" s="1"/>
  <c r="A20" i="44"/>
  <c r="C20" i="44" s="1"/>
  <c r="A20" i="48"/>
  <c r="C20" i="48" s="1"/>
  <c r="I6" i="48" s="1"/>
  <c r="A20" i="52"/>
  <c r="C20" i="52" s="1"/>
  <c r="I8" i="52" s="1"/>
  <c r="I5" i="24"/>
  <c r="I4" i="24"/>
  <c r="I3" i="24"/>
  <c r="E20" i="24" s="1"/>
  <c r="I5" i="28"/>
  <c r="I4" i="28"/>
  <c r="I3" i="28"/>
  <c r="E20" i="28" s="1"/>
  <c r="I5" i="32"/>
  <c r="I4" i="32"/>
  <c r="I3" i="32"/>
  <c r="E20" i="32" s="1"/>
  <c r="C20" i="23"/>
  <c r="I5" i="22"/>
  <c r="A20" i="23"/>
  <c r="I5" i="26"/>
  <c r="A20" i="27"/>
  <c r="C20" i="27" s="1"/>
  <c r="I5" i="30"/>
  <c r="A20" i="31"/>
  <c r="C20" i="31" s="1"/>
  <c r="E20" i="26"/>
  <c r="E3" i="26" s="1"/>
  <c r="E20" i="30"/>
  <c r="E3" i="30" s="1"/>
  <c r="H22" i="30"/>
  <c r="H23" i="30" s="1"/>
  <c r="A20" i="25"/>
  <c r="C20" i="25" s="1"/>
  <c r="A20" i="29"/>
  <c r="C20" i="29" s="1"/>
  <c r="A20" i="33"/>
  <c r="C20" i="33" s="1"/>
  <c r="F4" i="6"/>
  <c r="I6" i="69" l="1"/>
  <c r="I7" i="69"/>
  <c r="I10" i="67"/>
  <c r="I9" i="67"/>
  <c r="I8" i="67"/>
  <c r="I7" i="67"/>
  <c r="I6" i="67"/>
  <c r="I3" i="64"/>
  <c r="E20" i="64" s="1"/>
  <c r="E3" i="64" s="1"/>
  <c r="F42" i="5" s="1"/>
  <c r="G42" i="5" s="1"/>
  <c r="E20" i="60"/>
  <c r="I3" i="58"/>
  <c r="I6" i="58"/>
  <c r="I5" i="58"/>
  <c r="I4" i="58"/>
  <c r="E20" i="58" s="1"/>
  <c r="I6" i="55"/>
  <c r="I7" i="55"/>
  <c r="I6" i="46"/>
  <c r="I7" i="46"/>
  <c r="I7" i="62"/>
  <c r="I6" i="62"/>
  <c r="I5" i="62"/>
  <c r="I3" i="62"/>
  <c r="I4" i="62"/>
  <c r="E20" i="62"/>
  <c r="E3" i="62" s="1"/>
  <c r="F40" i="5" s="1"/>
  <c r="G40" i="5" s="1"/>
  <c r="I6" i="59"/>
  <c r="I7" i="59"/>
  <c r="I6" i="57"/>
  <c r="I7" i="57"/>
  <c r="I6" i="56"/>
  <c r="I9" i="56"/>
  <c r="I8" i="56"/>
  <c r="I7" i="56"/>
  <c r="I5" i="56"/>
  <c r="I3" i="56"/>
  <c r="I4" i="56"/>
  <c r="I7" i="54"/>
  <c r="I6" i="54"/>
  <c r="I8" i="54"/>
  <c r="I9" i="54"/>
  <c r="I6" i="53"/>
  <c r="I7" i="53"/>
  <c r="I7" i="52"/>
  <c r="I6" i="52"/>
  <c r="I6" i="51"/>
  <c r="I9" i="51"/>
  <c r="I7" i="51"/>
  <c r="I8" i="51"/>
  <c r="I6" i="50"/>
  <c r="I9" i="50"/>
  <c r="I8" i="50"/>
  <c r="I7" i="50"/>
  <c r="I8" i="49"/>
  <c r="I7" i="49"/>
  <c r="I7" i="45"/>
  <c r="I9" i="45"/>
  <c r="I8" i="45"/>
  <c r="I6" i="45"/>
  <c r="I6" i="44"/>
  <c r="I9" i="44"/>
  <c r="I8" i="44"/>
  <c r="I7" i="44"/>
  <c r="I6" i="43"/>
  <c r="I8" i="43"/>
  <c r="I7" i="42"/>
  <c r="I6" i="42"/>
  <c r="I9" i="42"/>
  <c r="I8" i="42"/>
  <c r="I5" i="41"/>
  <c r="I7" i="41"/>
  <c r="E20" i="41"/>
  <c r="I6" i="41"/>
  <c r="I3" i="41"/>
  <c r="I4" i="41"/>
  <c r="H22" i="41"/>
  <c r="H23" i="41" s="1"/>
  <c r="I7" i="40"/>
  <c r="I6" i="40"/>
  <c r="I8" i="40"/>
  <c r="I9" i="40"/>
  <c r="I7" i="74"/>
  <c r="I9" i="74"/>
  <c r="I6" i="74"/>
  <c r="I8" i="74"/>
  <c r="I7" i="73"/>
  <c r="I6" i="73"/>
  <c r="I5" i="72"/>
  <c r="I6" i="72"/>
  <c r="I4" i="72"/>
  <c r="I7" i="72"/>
  <c r="I3" i="72"/>
  <c r="E20" i="72"/>
  <c r="E3" i="72" s="1"/>
  <c r="F12" i="5" s="1"/>
  <c r="G12" i="5" s="1"/>
  <c r="I8" i="72"/>
  <c r="E20" i="71"/>
  <c r="I5" i="71"/>
  <c r="I4" i="71"/>
  <c r="I6" i="71"/>
  <c r="F79" i="6"/>
  <c r="I5" i="73"/>
  <c r="I4" i="73"/>
  <c r="I3" i="73"/>
  <c r="E20" i="73" s="1"/>
  <c r="I3" i="75"/>
  <c r="E20" i="75" s="1"/>
  <c r="I5" i="75"/>
  <c r="I4" i="75"/>
  <c r="H22" i="71"/>
  <c r="H23" i="71" s="1"/>
  <c r="E3" i="71"/>
  <c r="F11" i="5" s="1"/>
  <c r="G11" i="5" s="1"/>
  <c r="H22" i="72"/>
  <c r="H23" i="72" s="1"/>
  <c r="I4" i="74"/>
  <c r="I5" i="74"/>
  <c r="I3" i="74"/>
  <c r="E20" i="74"/>
  <c r="H22" i="74" s="1"/>
  <c r="H23" i="74" s="1"/>
  <c r="I4" i="70"/>
  <c r="I5" i="70"/>
  <c r="I3" i="70"/>
  <c r="E20" i="70"/>
  <c r="E3" i="70" s="1"/>
  <c r="F10" i="5" s="1"/>
  <c r="G10" i="5" s="1"/>
  <c r="I3" i="53"/>
  <c r="I5" i="53"/>
  <c r="I4" i="53"/>
  <c r="I5" i="51"/>
  <c r="I4" i="51"/>
  <c r="I3" i="51"/>
  <c r="E20" i="51" s="1"/>
  <c r="I5" i="48"/>
  <c r="I4" i="48"/>
  <c r="I3" i="48"/>
  <c r="I3" i="65"/>
  <c r="E20" i="65" s="1"/>
  <c r="I5" i="65"/>
  <c r="I4" i="65"/>
  <c r="I3" i="49"/>
  <c r="E20" i="49" s="1"/>
  <c r="I5" i="49"/>
  <c r="I4" i="49"/>
  <c r="I5" i="63"/>
  <c r="I4" i="63"/>
  <c r="I3" i="63"/>
  <c r="E20" i="63" s="1"/>
  <c r="E3" i="63" s="1"/>
  <c r="F41" i="5" s="1"/>
  <c r="G41" i="5" s="1"/>
  <c r="I5" i="47"/>
  <c r="I4" i="47"/>
  <c r="I3" i="47"/>
  <c r="E20" i="47" s="1"/>
  <c r="H22" i="60"/>
  <c r="H23" i="60" s="1"/>
  <c r="E3" i="60"/>
  <c r="F38" i="5" s="1"/>
  <c r="G38" i="5" s="1"/>
  <c r="I3" i="69"/>
  <c r="I5" i="69"/>
  <c r="I4" i="69"/>
  <c r="I4" i="42"/>
  <c r="E20" i="42" s="1"/>
  <c r="I3" i="42"/>
  <c r="I5" i="42"/>
  <c r="I5" i="44"/>
  <c r="I4" i="44"/>
  <c r="I3" i="44"/>
  <c r="I3" i="45"/>
  <c r="E20" i="45" s="1"/>
  <c r="I5" i="45"/>
  <c r="I4" i="45"/>
  <c r="I4" i="50"/>
  <c r="E20" i="50" s="1"/>
  <c r="I3" i="50"/>
  <c r="I5" i="50"/>
  <c r="I4" i="38"/>
  <c r="E20" i="38" s="1"/>
  <c r="I3" i="38"/>
  <c r="I5" i="38"/>
  <c r="E3" i="68"/>
  <c r="F46" i="5" s="1"/>
  <c r="G46" i="5" s="1"/>
  <c r="H22" i="68"/>
  <c r="H23" i="68" s="1"/>
  <c r="I5" i="52"/>
  <c r="I4" i="52"/>
  <c r="I3" i="52"/>
  <c r="E20" i="52" s="1"/>
  <c r="E20" i="59"/>
  <c r="H22" i="59" s="1"/>
  <c r="H23" i="59" s="1"/>
  <c r="I5" i="40"/>
  <c r="I4" i="40"/>
  <c r="E20" i="40" s="1"/>
  <c r="I3" i="40"/>
  <c r="I3" i="57"/>
  <c r="I5" i="57"/>
  <c r="I4" i="57"/>
  <c r="E20" i="57"/>
  <c r="E3" i="57" s="1"/>
  <c r="F35" i="5" s="1"/>
  <c r="G35" i="5" s="1"/>
  <c r="I4" i="46"/>
  <c r="I3" i="46"/>
  <c r="I5" i="46"/>
  <c r="E20" i="46" s="1"/>
  <c r="I5" i="67"/>
  <c r="I4" i="67"/>
  <c r="I3" i="67"/>
  <c r="E20" i="67"/>
  <c r="E3" i="67" s="1"/>
  <c r="F45" i="5" s="1"/>
  <c r="G45" i="5" s="1"/>
  <c r="H22" i="39"/>
  <c r="H23" i="39" s="1"/>
  <c r="I3" i="61"/>
  <c r="I5" i="61"/>
  <c r="I4" i="61"/>
  <c r="E3" i="41"/>
  <c r="F19" i="5" s="1"/>
  <c r="G19" i="5" s="1"/>
  <c r="H22" i="62"/>
  <c r="H23" i="62" s="1"/>
  <c r="I4" i="54"/>
  <c r="I3" i="54"/>
  <c r="E20" i="54" s="1"/>
  <c r="I5" i="54"/>
  <c r="I5" i="43"/>
  <c r="I4" i="43"/>
  <c r="I3" i="43"/>
  <c r="I5" i="55"/>
  <c r="I4" i="55"/>
  <c r="I3" i="55"/>
  <c r="E20" i="55" s="1"/>
  <c r="I5" i="59"/>
  <c r="I4" i="59"/>
  <c r="I3" i="59"/>
  <c r="E3" i="32"/>
  <c r="H22" i="32"/>
  <c r="H23" i="32" s="1"/>
  <c r="I3" i="29"/>
  <c r="I5" i="29"/>
  <c r="E20" i="29" s="1"/>
  <c r="I4" i="29"/>
  <c r="I5" i="31"/>
  <c r="I4" i="31"/>
  <c r="I3" i="31"/>
  <c r="E20" i="31" s="1"/>
  <c r="I3" i="33"/>
  <c r="I5" i="33"/>
  <c r="E20" i="33" s="1"/>
  <c r="I4" i="33"/>
  <c r="E3" i="28"/>
  <c r="H22" i="28"/>
  <c r="H23" i="28" s="1"/>
  <c r="H22" i="24"/>
  <c r="H23" i="24" s="1"/>
  <c r="E3" i="24"/>
  <c r="I5" i="25"/>
  <c r="E3" i="25"/>
  <c r="I3" i="25"/>
  <c r="I4" i="25"/>
  <c r="E20" i="25"/>
  <c r="H22" i="25" s="1"/>
  <c r="H23" i="25" s="1"/>
  <c r="I5" i="27"/>
  <c r="I4" i="27"/>
  <c r="E20" i="27" s="1"/>
  <c r="I3" i="27"/>
  <c r="E20" i="23"/>
  <c r="E3" i="23" s="1"/>
  <c r="E3" i="22"/>
  <c r="I4" i="23"/>
  <c r="I5" i="23"/>
  <c r="I3" i="23"/>
  <c r="H22" i="23"/>
  <c r="H23" i="23" s="1"/>
  <c r="H22" i="26"/>
  <c r="H23" i="26" s="1"/>
  <c r="E20" i="69" l="1"/>
  <c r="E3" i="69" s="1"/>
  <c r="F47" i="5" s="1"/>
  <c r="G47" i="5" s="1"/>
  <c r="H22" i="64"/>
  <c r="H23" i="64" s="1"/>
  <c r="E20" i="61"/>
  <c r="H22" i="61" s="1"/>
  <c r="H23" i="61" s="1"/>
  <c r="E3" i="58"/>
  <c r="F36" i="5" s="1"/>
  <c r="G36" i="5" s="1"/>
  <c r="H22" i="58"/>
  <c r="H23" i="58" s="1"/>
  <c r="E20" i="48"/>
  <c r="H22" i="48" s="1"/>
  <c r="H23" i="48" s="1"/>
  <c r="E20" i="56"/>
  <c r="H22" i="56" s="1"/>
  <c r="H23" i="56" s="1"/>
  <c r="E20" i="53"/>
  <c r="E3" i="53" s="1"/>
  <c r="F31" i="5" s="1"/>
  <c r="G31" i="5" s="1"/>
  <c r="E20" i="44"/>
  <c r="H22" i="44" s="1"/>
  <c r="H23" i="44" s="1"/>
  <c r="E3" i="74"/>
  <c r="F14" i="5" s="1"/>
  <c r="G14" i="5" s="1"/>
  <c r="E3" i="59"/>
  <c r="F37" i="5" s="1"/>
  <c r="G37" i="5" s="1"/>
  <c r="E3" i="73"/>
  <c r="F13" i="5" s="1"/>
  <c r="G13" i="5" s="1"/>
  <c r="H22" i="73"/>
  <c r="H23" i="73" s="1"/>
  <c r="H22" i="75"/>
  <c r="H23" i="75" s="1"/>
  <c r="E3" i="75"/>
  <c r="F15" i="5" s="1"/>
  <c r="G15" i="5" s="1"/>
  <c r="H22" i="70"/>
  <c r="H23" i="70" s="1"/>
  <c r="H22" i="50"/>
  <c r="H23" i="50" s="1"/>
  <c r="E3" i="50"/>
  <c r="F28" i="5" s="1"/>
  <c r="G28" i="5" s="1"/>
  <c r="H22" i="49"/>
  <c r="H23" i="49" s="1"/>
  <c r="E3" i="49"/>
  <c r="F27" i="5" s="1"/>
  <c r="G27" i="5" s="1"/>
  <c r="H22" i="40"/>
  <c r="H23" i="40" s="1"/>
  <c r="E3" i="40"/>
  <c r="F18" i="5" s="1"/>
  <c r="G18" i="5" s="1"/>
  <c r="H22" i="38"/>
  <c r="H23" i="38" s="1"/>
  <c r="E3" i="38"/>
  <c r="F16" i="5" s="1"/>
  <c r="G16" i="5" s="1"/>
  <c r="H22" i="42"/>
  <c r="H23" i="42" s="1"/>
  <c r="E3" i="42"/>
  <c r="F20" i="5" s="1"/>
  <c r="G20" i="5" s="1"/>
  <c r="E3" i="52"/>
  <c r="F30" i="5" s="1"/>
  <c r="G30" i="5" s="1"/>
  <c r="H22" i="52"/>
  <c r="H23" i="52" s="1"/>
  <c r="E3" i="46"/>
  <c r="F24" i="5" s="1"/>
  <c r="G24" i="5" s="1"/>
  <c r="H22" i="46"/>
  <c r="H23" i="46" s="1"/>
  <c r="H22" i="55"/>
  <c r="H23" i="55" s="1"/>
  <c r="E3" i="55"/>
  <c r="F33" i="5" s="1"/>
  <c r="G33" i="5" s="1"/>
  <c r="H22" i="54"/>
  <c r="H23" i="54" s="1"/>
  <c r="E3" i="54"/>
  <c r="F32" i="5" s="1"/>
  <c r="G32" i="5" s="1"/>
  <c r="H22" i="45"/>
  <c r="H23" i="45" s="1"/>
  <c r="E3" i="45"/>
  <c r="F23" i="5" s="1"/>
  <c r="G23" i="5" s="1"/>
  <c r="H22" i="47"/>
  <c r="H23" i="47" s="1"/>
  <c r="E3" i="47"/>
  <c r="F25" i="5" s="1"/>
  <c r="G25" i="5" s="1"/>
  <c r="E3" i="65"/>
  <c r="F43" i="5" s="1"/>
  <c r="G43" i="5" s="1"/>
  <c r="H41" i="5" s="1"/>
  <c r="H22" i="65"/>
  <c r="H23" i="65" s="1"/>
  <c r="H22" i="51"/>
  <c r="H23" i="51" s="1"/>
  <c r="E3" i="51"/>
  <c r="F29" i="5" s="1"/>
  <c r="G29" i="5" s="1"/>
  <c r="E20" i="43"/>
  <c r="H22" i="67"/>
  <c r="H23" i="67" s="1"/>
  <c r="H22" i="63"/>
  <c r="H23" i="63" s="1"/>
  <c r="H22" i="57"/>
  <c r="H23" i="57" s="1"/>
  <c r="E3" i="31"/>
  <c r="H22" i="31"/>
  <c r="H23" i="31" s="1"/>
  <c r="E3" i="29"/>
  <c r="H22" i="29"/>
  <c r="H23" i="29" s="1"/>
  <c r="H22" i="27"/>
  <c r="H23" i="27" s="1"/>
  <c r="E3" i="27"/>
  <c r="E3" i="33"/>
  <c r="H22" i="33"/>
  <c r="H23" i="33" s="1"/>
  <c r="H22" i="69" l="1"/>
  <c r="H23" i="69" s="1"/>
  <c r="E3" i="61"/>
  <c r="F39" i="5" s="1"/>
  <c r="G39" i="5" s="1"/>
  <c r="E3" i="48"/>
  <c r="F26" i="5" s="1"/>
  <c r="G26" i="5" s="1"/>
  <c r="E3" i="56"/>
  <c r="F34" i="5" s="1"/>
  <c r="G34" i="5" s="1"/>
  <c r="H22" i="53"/>
  <c r="H23" i="53" s="1"/>
  <c r="E3" i="44"/>
  <c r="F22" i="5" s="1"/>
  <c r="G22" i="5" s="1"/>
  <c r="E3" i="43"/>
  <c r="F21" i="5" s="1"/>
  <c r="G21" i="5" s="1"/>
  <c r="H22" i="43"/>
  <c r="H23" i="43" s="1"/>
  <c r="G48" i="5" l="1"/>
</calcChain>
</file>

<file path=xl/sharedStrings.xml><?xml version="1.0" encoding="utf-8"?>
<sst xmlns="http://schemas.openxmlformats.org/spreadsheetml/2006/main" count="1775" uniqueCount="211">
  <si>
    <t>ITEM 1</t>
  </si>
  <si>
    <t>UNIDADE</t>
  </si>
  <si>
    <t>QUANT.</t>
  </si>
  <si>
    <t>FONTE DE PESQUISA</t>
  </si>
  <si>
    <t>PREÇOS</t>
  </si>
  <si>
    <t>COEF.</t>
  </si>
  <si>
    <t>MÉDIA</t>
  </si>
  <si>
    <t>MEDIANA</t>
  </si>
  <si>
    <t>unidade</t>
  </si>
  <si>
    <t>VALOR TOTAL</t>
  </si>
  <si>
    <t>DESCARTE</t>
  </si>
  <si>
    <t>MÉDIA APÓS DESCARTE</t>
  </si>
  <si>
    <t>ESTIMATIVA DO ITEM</t>
  </si>
  <si>
    <t>Valor Unitário</t>
  </si>
  <si>
    <t>RESULTADO DA ESTIMATIVA</t>
  </si>
  <si>
    <t>Item</t>
  </si>
  <si>
    <t>Descrição</t>
  </si>
  <si>
    <t>Unidade de Fornecimento</t>
  </si>
  <si>
    <t>Quantidade</t>
  </si>
  <si>
    <t>Valor Total</t>
  </si>
  <si>
    <t>VALOR TOTAL ESTIMADO</t>
  </si>
  <si>
    <t>MENORES PREÇOS OFERTADOS</t>
  </si>
  <si>
    <t>Fornec.</t>
  </si>
  <si>
    <t>VALOR TOTAL - MENORES PREÇOS OFERTADOS</t>
  </si>
  <si>
    <t>MATERIAL OU SERVIÇO</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</si>
  <si>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</si>
  <si>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</si>
  <si>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</si>
  <si>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</si>
  <si>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</si>
  <si>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</si>
  <si>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</si>
  <si>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PREÇO ESTIMADO</t>
  </si>
  <si>
    <t>MENOR PREÇO</t>
  </si>
  <si>
    <t>MENOR PREÇO UNITÁRIO COLETADO PARA O ITEM</t>
  </si>
  <si>
    <t>DESVIO PADRÃO</t>
  </si>
  <si>
    <t>NÃO ALTERE AS FÓRMULAS LTDA</t>
  </si>
  <si>
    <t>NÃO MUDE A ALTURA DAS LINHAS S.A</t>
  </si>
  <si>
    <t>NÃO MUDE AS CORES LTDA</t>
  </si>
  <si>
    <t xml:space="preserve">EXEMPLO - Serviço de confecção de placa em alumínio composto, medindo (2,06 x 0,75)m, fundo branco, com gravação das letras em baixo 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Com 4 furações nas extremidades. Deverão ser fornecidos os 4 parafusos necessários para a fixação em parede de alvenaria. 
Ver desenho PLACA 01 - Será solicitada sempre que surgir uma nova necessidade, quando então será informado o nº da zona eleitoral e o nome dos municípios a serem incluídos na inscrição da placa.
</t>
  </si>
  <si>
    <t>QUANTIDADE DE PREÇOS COLETADOS</t>
  </si>
  <si>
    <t>VALOR UNITÁRIO ESTIMADO</t>
  </si>
  <si>
    <t>ITEM 2</t>
  </si>
  <si>
    <t>ITEM 3</t>
  </si>
  <si>
    <t>ITEM 4</t>
  </si>
  <si>
    <t>ITEM 5</t>
  </si>
  <si>
    <t>ITEM 6</t>
  </si>
  <si>
    <t>ITEM 7</t>
  </si>
  <si>
    <t>ITEM 8</t>
  </si>
  <si>
    <t>ITEM 9</t>
  </si>
  <si>
    <t>ITEM 10</t>
  </si>
  <si>
    <t>ITEM 11</t>
  </si>
  <si>
    <t>ITEM 12</t>
  </si>
  <si>
    <t>ITEM 13</t>
  </si>
  <si>
    <t>ITEM 14</t>
  </si>
  <si>
    <t>ITEM 15</t>
  </si>
  <si>
    <t>ITEM 16</t>
  </si>
  <si>
    <t>ITEM 17</t>
  </si>
  <si>
    <t>ITEM 18</t>
  </si>
  <si>
    <t>ITEM 19</t>
  </si>
  <si>
    <t>ITEM 20</t>
  </si>
  <si>
    <t>ITEM 21</t>
  </si>
  <si>
    <t>ITEM 22</t>
  </si>
  <si>
    <t>ITEM 23</t>
  </si>
  <si>
    <t>ITEM 24</t>
  </si>
  <si>
    <t>ITEM 25</t>
  </si>
  <si>
    <t>ITEM 26</t>
  </si>
  <si>
    <t>ITEM 27</t>
  </si>
  <si>
    <t>ITEM 28</t>
  </si>
  <si>
    <t>ITEM 29</t>
  </si>
  <si>
    <t>ITEM 30</t>
  </si>
  <si>
    <t>ITEM 31</t>
  </si>
  <si>
    <t>ITEM 32</t>
  </si>
  <si>
    <t>ITEM 33</t>
  </si>
  <si>
    <t>ITEM 34</t>
  </si>
  <si>
    <t>ITEM 35</t>
  </si>
  <si>
    <t>ITEM 36</t>
  </si>
  <si>
    <t>ITEM 37</t>
  </si>
  <si>
    <t>ITEM 38</t>
  </si>
  <si>
    <t>ITEM 39</t>
  </si>
  <si>
    <t>ITEM 40</t>
  </si>
  <si>
    <t>ITEM 41</t>
  </si>
  <si>
    <t>ITEM 42</t>
  </si>
  <si>
    <t>ITEM 43</t>
  </si>
  <si>
    <t>ITEM 44</t>
  </si>
  <si>
    <t>ITEM 45</t>
  </si>
  <si>
    <t>ITEM 46</t>
  </si>
  <si>
    <t>ITEM 47</t>
  </si>
  <si>
    <t>ITEM 48</t>
  </si>
  <si>
    <t>ITEM 49</t>
  </si>
  <si>
    <t>ITEM 50</t>
  </si>
  <si>
    <t>SMART TV LED, com as seguintes características:
• Diagonal entre 55 a 60 polegadas;
• Cor preta.
• Resolução de imagem mínima Full HD;
• Conversor digital integrado;
• Fonte bivolt 110-220 V
Conexões
 Mínimo de 2 (duas) entradas HDMI;
 Mínimo de 1 (uma) entrada USB 2.0 ou superior com capacidade de reprodução de áudio, vídeo e musicas em alta resolução direto de dispositivo USB (Pen Drive);
 Mínimo de 1 (uma) entrada de áudio/ vídeo;
 Mínimo de uma entrada RF para TV aberta;
 Mínimo de uma entrada Ethernet(LAN);
 Wi-fi integrado.
• Controle remoto munido das pilhas necessárias;
• Alimentação bi volt: 110 – 220 v/60hz;
• Acompanhado de base para uso em mesa;
• Menu em Português.
• Garantia de, no mínimo, 360 dias.</t>
  </si>
  <si>
    <t>APARELHO TELEFÔNICO SEM FIO, com as
seguintes características,
• Tecnologia DECT 6.0;
• Tecla localizadora de monofone;
• Tempo de flash: 300ms (trezentos milissegundos);
• Indicador de bateria fraca;
• Ajuste de volume de recepção (monofone);
• Ajuste de volume de campainha;
• Seleção tom/pulso;
• Tecla Flash, rediscar e mudo;
• Acompanha Bateria/pilha recarregável com duração de, no mínimo, 90 horas em modo repouso e mínimo de 9 horas em uso contínuo;
• Fonte bivolt 110-220 V;
• Compatível com os padrões, protocolos e sinalizações do sistema brasileiro de telecomunicações;
• Embalagem individual, em material reciclável;
• Cor preta, grafite, argila, cinza ou branca.
• Garantia de, no mínimo, 90 dias.</t>
  </si>
  <si>
    <t>APARELHO TELEFÔNICO, com as seguintes características:
• Ajuste de volume de campainha;
• Seleção tom/pulso;
• Tecla Flash, rediscar, pausa e mudo;
• Tempo de flash: 300ms (trezentos milissegundos);
• Cor preta, grafite, argila ou branca;
• Compatível com os padrões, protocolos e sinalizações do sistema brasileiro de telecomunicações;
• Embalagem individual, em material reciclável.</t>
  </si>
  <si>
    <t>CAFETEIRA, com as seguintes especificações:
• Jarra em aço inox;
• Filtro permanente removível;
• Capacidade mínima de 1 litro;
• Indicador do nível de água;
• Alimentação elétrica: 127V ou bivolt.
• Garantia de, no mínimo, 360 dias.</t>
  </si>
  <si>
    <t>CAFETEIRA, com as seguintes especificações:
• Jarra em aço inox;
• Filtro permanente removível;
• Capacidade mínima de 1 litro;
• Indicador do nível de água;
• Alimentação elétrica: 220V ou bivolt.
• Garantia de, no mínimo, 360 dias.</t>
  </si>
  <si>
    <t>FORNO DE MICRO-ONDAS, com as seguintes especificações:
• Capacidade (câmara do alimento) entre 30 e 35 litros;
• Voltagem: 127V;
• Prato giratório removível;
• Display e menu com funções em português;
• Trava de segurança.
• Selo Procel A</t>
  </si>
  <si>
    <t>FORNO DE MICRO-ONDAS, com as seguintes especificações:
• Capacidade (câmara do alimento) entre 30 e 35 litros;
• Voltagem: 220 V;
• Prato giratório removível;
• Display e menu com funções em português;
• Trava de segurança.
• Selo Procel A</t>
  </si>
  <si>
    <t>REFRIGERADOR, com as seguintes especificações:
• Tipo frigobar;
• Volume interno total: 75 a 95 litros;
• Selo Procel Classe A;
• Tensão elétrica: 127 V;
• Degelo automático ou bandeja de degelo;
• Prateleiras removíveis;
• Portas reversíveis;
• Controle de temperatura;
• Cor branca.</t>
  </si>
  <si>
    <t>REFRIGERADOR, com as seguintes especificações:
• Tipo frigobar;
• Volume interno total: 75 a 95 litros;
• Selo Procel Classe A;
• Tensão elétrica: 220V;
• Degelo automático ou bandeja de degelo;
• Prateleiras removíveis;
• Portas reversíveis;
• Controle de temperatura;
• Cor branca.</t>
  </si>
  <si>
    <t>BEBEDOURO DE COLUNA, com as seguintes especificações:
• Tipo garrafão;
• Selo de conformidade Inmetro;
• Acomodação para garrafão de 10 e 20 litros;
• Capacidade de fornecimento de água gelada : 0,90 l/h ou superior;
• Tensão elétrica: 127V ou bivolt;
• Gabinete com laterais confeccionadas em aço carbono galvanizado, chapa eletrozincada ou inox;
• Pingadeira com tampo removível;
• Acionamento para água gelada e natural;
• Gás refrigerante ecológico.
• Cor branca ou inox
• Em conformidade com a norma ABNT NBR 16236:2013 (Versão corrigida) ou mais recente.</t>
  </si>
  <si>
    <t>BEBEDOURO DE COLUNA, com as seguintes especificações:
• Tipo garrafão;
• Selo de conformidade Inmetro;
• Acomodação para garrafão de 10 e 20 litros;
• Capacidade de fornecimento de água gelada : 0,90 l/h ou superior;
• Tensão elétrica: 220V ou bivolt;
• Gabinete com laterais confeccionadas em aço carbono galvanizado, chapa eletrozincada ou inox;
• Pingadeira com tampo removível;
• Acionamento para água gelada e natural;
• Gás refrigerante ecológico.
• Cor branca ou inox
• Em conformidade com a norma ABNT NBR 16236:2013 (Versão corrigida) ou mais recente</t>
  </si>
  <si>
    <t>BEBEDOURO DE COLUNA TIPO
PRESSÃO, com as seguintes especificações:
• Certificado pelo Inmetro;
• Tensão Elétrica 127V;
• Gabinete com laterais confeccionada em aço;
• Com 2 torneiras de pressão em latão cromado, uma para jato outra para copo;
• Pia em aço inoxidável;
• Filtro de água com carvão ativado, para reter partículas sólidas e gosto de cloro;
• Capacidade de refrigeração para atendimento médio de 20 pessoas/hora.
• Gás refrigerante ecológico.
• Em conformidade com a norma ABNT NBR 16236:2013 (Versão corrigida) ou mais recente</t>
  </si>
  <si>
    <t>BEBEDOURO DE COLUNA TIPO
PRESSÃO, com as seguintes especificações:
• Certificado pelo Inmetro;
• Tensão Elétrica 220V;
• Gabinete com laterais confeccionada em aço;
• Com 2 torneiras de pressão em latão cromado, uma para jato outra para copo;
• Pia em aço inoxidável;
• Filtro de água com carvão ativado, para reter partículas sólidas e gosto de cloro;
• Capacidade de refrigeração para atendimento médio de 20 pessoas/hora.
• Gás refrigerante ecológico.
• Em conformidade com a norma ABNT NBR 16236:2013 (Versão corrigida) ou mais recente</t>
  </si>
  <si>
    <t>VENTILADOR DE COLUNA, com as seguintes especificações:
• Grade de metal;
• Diâmetro da grade: 65 cm, admitida variação de ± 5 cm;
• Tensão: bivolt;
• Coluna regulável, com altura mínima de 1,5m na posição distendida;
• Mecanismo oscilante e controle de velocidade.
• Garantia de, no mínimo, 360 dias.</t>
  </si>
  <si>
    <t>REFRIGERADOR, com as seguintes especificações:
• Volume interno total: mínimo de 340 litros;
• Selo Procel Classe A;
• Tensão elétrica: 127 V;
• Frost free;
• Prateleiras removíveis;
• Portas reversíveis;
• Controle de temperatura;
• Fluído refrigerante ecológico
• Cor branca.</t>
  </si>
  <si>
    <t>REFRIGERADOR, com as seguintes especificações:
• Volume interno total: mínimo de 340 litros;
• Selo Procel Classe A;
• Tensão elétrica: 220 V;
• Frost free;
• Prateleiras removíveis;
• Portas reversíveis;
• Controle de temperatura;
• Fluído refrigerante ecológico
• Cor branca.</t>
  </si>
  <si>
    <t>FREEZER VERTICAL FROST FREE, com as
seguintes especificações:
• Capacidade : mínimo de 200 litros;
• Selo Procel classe A;
• Fluído refrigerante ecológico;
• Com gavetas removíveis;
• Controle de temperatura;
• Tensão elétrica: 127 V;
• Cor branca.</t>
  </si>
  <si>
    <t>FREEZER VERTICAL FROST FREE, com as
seguintes especificações:
• Capacidade: mínimo de 200 litros;
• Selo Procel classe A;
• Fluído refrigerante ecológico;
• Com gavetas removíveis;
• Controle de temperatura;
• Tensão elétrica: 220 V;
• Cor branca.</t>
  </si>
  <si>
    <t>VENTILADOR DE PAREDE, com as seguintes especificações:
• Grade de metal;
• Diâmetro da grade: 100 cm, admitida variação de ± 5 cm;
• Rotação mínima: 1000 r.p.m.
• Tensão: bivolt ou 110 volt;
• Regulagem de inclinação.
• Garantia de, no mínimo, 360 dias</t>
  </si>
  <si>
    <t>VENTILADOR DE PAREDE, com as seguintes especificações:
• Grade de metal;
• Diâmetro da grade: 100 cm, admitida variação de ± 5 cm;
• Rotação mínima: 1000 r.p.m.
• Tensão: bivolt ou 220 volt;
• Regulagem de inclinação.
• Garantia de, no mínimo, 360 dias</t>
  </si>
  <si>
    <t>ADAPTADOR PARA TELEFONE ANALÓGICO (ATA)
• 1 porta WAN 100BASE-T RJ-45 Porta Ethernet (IEEE 802.3)
• 1 porta LAN 100 BASE-T RJ-45 Porta Ethertnet (IEEE 802.3)
• 2 portas de telefonia FXS RJ11, com 2 números de telefones independentes;
• Saídas de telefone compatíveis com telefones comuns com e sem fio, ou aparelhos de FAX
• Compatibilidade com protocolo SIP 2.0 (RFC 3261)
• Codesc de voz: G.711, G.726, G.723.1, G.729A/B
• Suporte DTMF (RFC2833 e SIP INFO) e FSK
• Passagem de Fax G711 e T.38
• Suporte à supressão de silêncio, cancelamento de eco (G.165, G167, e G168), CNG (geração de ruído de conforto) e PLC (cancelamento de perda de pacote)
• Configuração de rede: estática, DHCP ou PPPoE (ADSL)
• Configurável através do navegador
• Compatível com as funções telefônicas: identificação de chamada, chamada em espera, correio de voz, etc
• Alimentação através de fonte externa bivolt automática
• Referência: Intelbras GKM 2210T, CISCO SPA 122, GRANDSTREAM NAT HT812</t>
  </si>
  <si>
    <t>ANTENA INTERNA PARA TV DIGITAL
• Cabo de no mínimo 2,5 metros.
• Capta sinais UHF/HDTV
• Conector F macho
• Cor preta</t>
  </si>
  <si>
    <t>PROJETOR DE VIDEO LASER  6000 lúmens.
• Tipo do display: Poly-silicon TFT matriz ativa
Resolução nativa: 1920 x 1200 pixels WUXGA
• Modo de projeção: Frontal, Frontal/Teto, Traseiro, Traseiro/Teto.
• Painel LCD: 0,67" (D10 com C2Fine™).
• Número de pixels: 2.304.000 pixels (1920x1200) x 3
• Brilho em cores - Saída de luz colorida: 6.000 lumens (ISSO 21118 padrão)
• Brilho em branco - Saída de luz branca: 6.000 lumens
• Razão de aspecto: 16:10
• Resolução nativa: 1920x1200 (WUXGA)
• Alcance do Throw-Ratio: 1,35–2,2
• Dimensões da imagem: 48” (1,22m) a 470” (7,11m)
• Correção de Keystone: Vertical: ±30 graus; Horizontal: ±30 graus.
• Razão de contraste: até 2.500.000:1 com modo dinâmico de cores, modo normal de fonte de luz e modo wide zoom
• Alcance de mudança da lente: Vertical: ±50 graus; Horizontal: ±20 graus.
• Processamento de cor: 10 bits
• Reprodução de cor: até 1,07 bilhão de cores
• Tipo de laser: laser diodo
• Potencia de saída da fonte de luz: até 104,5W
• Comprimento de onda: 449 a 491nm
• Duração da fonte de luz laser: Normal: 20.000 horas; Silencioso: 20.000 horas; Estendido: 30.000 horas
• Lente de projeção standard: F=1.5 a 1.7
• Distância focal: 20.0 a 31.8 mm
• Interfaces:
                    HDBaseT x1
HDMI x2
Analógico: D-sub 15 pin x1
Controle I/O: RS-232C (D-sub 9 pin)
USB-I/O: Tipo A x1; Tipo B x1
LAN RJ45 x1
Wireless LAN (acessório opcional) USB Tipo A x1
Entrada de Áudio (stereo): x2
Saída de Áudio (stereo): x1
                     Ruído do ventilador: 37dB (Modo Normal), 25dB (Modo ECO)0
• Energia:
Voltagem: 100 – 240VAC ±10%, 50/60Hz
Voltagem nominal: 100 – 240VAC
Frequência nominal: 50/60Hz
Consumo de energia:
Normal: 353W
Silencioso: 254W
Standby em Rede 2,0W
• Acessório:
Suporte articulado para montagem em mastro fixo no teto (ceiling-mount) conforme
modelo/fabricante.
Equipamento especificado: Epson, Panasonic, Christie ou equivalente técnico.</t>
  </si>
  <si>
    <t>Vídeo Wall Controlador 2X2, 4K, 4 Telas, USB, HDMI
Resolução:
Entrada suporta: 3840 x 2160 com 30Hz.
Saída Suporta: 1920 x 1080 com 30Hz .
Funcionalidades :
Suporta até 4 Telas diferentes, permite várias combinações de exibição no display.
Indicador luminoso de funcionamento: LED vermelho para ligado e LED verde significa conexão bem-sucedida com o monitor.
Botão que altera o modo de exibição no painel. Mudança também pode ser feita pelo controle remoto.
Botão no painel para seleção rápida da fonte de sinal HDMI (entrada/saída).
Botão no painel para reset rápido e redefinição do controlador de vídeo Wall.
Porta RS232, para conexão de porta serial do controlador Uso pelo fabricante.
Leitor de cartão SD, para atualização da entrada da fonte de sinal.
Entradas 2 USB 2.0, para conexão de periféricos como Pendrives HDs externos teclado, mouse e outros.
Entrada R/L para fone de ouvido (3,5mm), saída estéreo de áudio analógico.
Acesso para fibra óptica, porta para saída de áudio digital estéreo.
Recepção de sinal infravermelho, para uso do controle remoto (IR).
Sistema “plug and play”, sem a necessidade de instalação de software adicional.</t>
  </si>
  <si>
    <t>PURIFICADOR DE ÁGUA, com as
seguintes características:
• Tensão Elétrica: 127 volts
• Fornecimento de água em, no mínimo, 02 (duas) temperaturas: natural e gelada.
• Refrigeração feita por compressor.
• Para uso fixado na parede ou em bancada.
• Que possibilite fácil substituição do refil pelo próprio usuário, sem a necessidade de ferramentas (sistema “girou trocou”, “troca fácil”, apenas um botão ou similar).
• Elemento filtrante com capacidade de redução de cloro livre, retenção de partículas Classe C ou superior, e eliminação de odores e sabores presentes na água.
• Capacidade de fornecimento de água gelada de, no mínimo, 0,5 L/H, conforme norma ABNT NBR 16236/2013 Versão corrigida ou mais recente.
• Ligado na água da rede.
• Fluido refrigerante ecológico.
• Vida útil do filtro de, no mínimo 06 (seis) meses.
• Selo Inmetro
• Cor branca, cinza, prata ou preta.
• Garantia de no mínimo 6 meses.</t>
  </si>
  <si>
    <t>PURIFICADOR DE ÁGUA, com as
seguintes características:
• Tensão Elétrica: 220 volts.
• Fornecimento de água em, no mínimo, 02 (duas) temperaturas: natural e gelada.
• Refrigeração feita por compressor.
• Para uso fixado na parede ou em bancada.
• Que possibilite fácil substituição do refil pelo próprio usuário, sem a necessidade de ferramentas (sistema “girou trocou”, “troca fácil”, apenas um botão ou similar).
• Elemento filtrante com capacidade de redução de cloro livre, retenção de partículas Classe C ou superior, e eliminação de odores e sabores presentes na água.
• Capacidade de fornecimento de água gelada de, no mínimo, 0,5 L/H, conforme norma ABNT NBR 16236/2013 Versão corrigida ou mais recente.
• Ligado na água da rede.
• Fluido refrigerante ecológico.
• Vida útil do filtro de, no mínimo 06 (seis) meses.
• Selo Inmetro
• Cor branca, cinza, prata ou preta.
• Garantia de no mínimo 6 meses.</t>
  </si>
  <si>
    <t>Refil para Purificador de água, com as seguintes características mínimas:
• Compatível com purificadores de água indicados nos itens 32 e 33
• Com capacidade de redução de cloro livre, retenção de partículas Classe C ou superior e eliminação de odores e sabores presentes na água.</t>
  </si>
  <si>
    <t>AMERICANAS</t>
  </si>
  <si>
    <t>CARREFOUR</t>
  </si>
  <si>
    <t>CASAS BAHIA</t>
  </si>
  <si>
    <t>MAGAZINE LUIZA</t>
  </si>
  <si>
    <t>CASA E VIDEO</t>
  </si>
  <si>
    <t>G BARBOSA</t>
  </si>
  <si>
    <t>GIRAFA</t>
  </si>
  <si>
    <t>KABUM</t>
  </si>
  <si>
    <t>AMAZON</t>
  </si>
  <si>
    <t>ESPACO INFO</t>
  </si>
  <si>
    <t>SHOPFACIL</t>
  </si>
  <si>
    <t>COMM</t>
  </si>
  <si>
    <t>GRUPO TEK</t>
  </si>
  <si>
    <t>PLENA IMPORTS</t>
  </si>
  <si>
    <t>SETE PLANEJADOS</t>
  </si>
  <si>
    <t>APARELHOS TELEFÔNICOS IP, com as seguintes características:
• Display alfanumérico;
• Teclado com as funções viva-voz, mute, redial e flash;
• 2 (duas) interfaces ethernet, modelo RJ- 45/10/100baseT uma para conexão com a rede e outra para conexão com o PC;
• Suporte aos CODECs de áudio: G711-A, G711-U, G722, G.726 e G.729 A/B;
• Suporte ao protocolo SIP
• Suporte a pelo menos uma conta SIP
• Suporte e Gerenciamento SNMP
• Qualidade do Serviço: Nível 2 (IEEE 802.1p/Q) e Nível 3 (Dlffsen);
• CPU: Memória Flash de, no mínimo, 4 Mbytes e SDRAM de, no mínimo, 8 Mbytes;
•  Modo de Configuração: Via display e via interface WEB;
• Alimentação Externa 110 ~ 220 VAC, inclusive com Poe (Power Over Internet) integrado;
• Manual em português;
• Cor preta, argila ou grafite;
• Referência: GRANDSTREAM GXP 1615/1625, Intelbras TIP125 ou Yealink T19P.</t>
  </si>
  <si>
    <t>LOJA MUNDI</t>
  </si>
  <si>
    <t>OCEANO B2B</t>
  </si>
  <si>
    <t>VOXPOP</t>
  </si>
  <si>
    <t>EXTRA</t>
  </si>
  <si>
    <t>LE BISCUIT</t>
  </si>
  <si>
    <t>COLOMBO</t>
  </si>
  <si>
    <t>RIACHUELO</t>
  </si>
  <si>
    <t>LEBES</t>
  </si>
  <si>
    <t>MIDEA</t>
  </si>
  <si>
    <t>ZEMA</t>
  </si>
  <si>
    <t>FERREIRA COSTA</t>
  </si>
  <si>
    <t>FRIO PEÇAS</t>
  </si>
  <si>
    <t>PHILCO</t>
  </si>
  <si>
    <t>ELECTROLUX</t>
  </si>
  <si>
    <t>SHOPTIME</t>
  </si>
  <si>
    <t>SIPOLATTI</t>
  </si>
  <si>
    <t>EFACIL</t>
  </si>
  <si>
    <t>ESTRELA 10</t>
  </si>
  <si>
    <t>PLATINOX</t>
  </si>
  <si>
    <t>SUBMARINO</t>
  </si>
  <si>
    <t>VARIMAQ</t>
  </si>
  <si>
    <t>LOJA DO BEBEDOURO</t>
  </si>
  <si>
    <t>MADEIRA MADEIRA</t>
  </si>
  <si>
    <t>CONSUL</t>
  </si>
  <si>
    <t>FAST SHOP</t>
  </si>
  <si>
    <t>LOJA LEBES</t>
  </si>
  <si>
    <t>CONTINENTAL</t>
  </si>
  <si>
    <t>DIMEL</t>
  </si>
  <si>
    <t>FERRAMENTAS KENNEDY</t>
  </si>
  <si>
    <t>LOJA DO MECANICO</t>
  </si>
  <si>
    <t>SUPER PRO ATACADO</t>
  </si>
  <si>
    <t>CATRAL</t>
  </si>
  <si>
    <t>DUFRIO</t>
  </si>
  <si>
    <t>DUTRA</t>
  </si>
  <si>
    <t>NOVO MUNDO</t>
  </si>
  <si>
    <t>RM FERRAMENTAS</t>
  </si>
  <si>
    <t>EQUIPAMENTOS RODRIGUES</t>
  </si>
  <si>
    <t>GAZIN</t>
  </si>
  <si>
    <t>REFRISOL</t>
  </si>
  <si>
    <t>PRODUT SHOP</t>
  </si>
  <si>
    <t>KALUNGA</t>
  </si>
  <si>
    <t>MEGASOM</t>
  </si>
  <si>
    <t>PONTO</t>
  </si>
  <si>
    <t>SOPRO DIVINO</t>
  </si>
  <si>
    <t>TJG SOM</t>
  </si>
  <si>
    <t>SUPORTE PARA TV LED TIPO
PEDESTAL DE PISO, com as seguintes características:
• Com regulagem de altura da TV
• Compatível com TVs de 32 a 65 polegadas;
• Cor predominante preta ou grafite;
• Passagem interna para fiação;
• Com no mínimo uma bandeja de apoio para DVD e Notebook;
• Dimensões da bandeja (500mm x 290mm) (LxP). Admite-se variação de 100 mm na largura e de 100 mm na profundidade;
• Compatível com os seguintes padrões de furação VESA 200x100, 200x200, 200x300, 300x200, 300x300, 400x200, 400x300, 400x400, 600x200 ou 600x400mm (HxV);
• Parafusos para fixação da TV;
• Fabricado em aço carbono com acabamento em pintura eletrostática;
• Rodízio (rodas) para locomoção com trava;
• Mínimo de uma prateleira;
• Carga mínima suportada da TV: 45 kg ou superior;
• Carga mínima sobre a bandeja: 5 kg ou superior;
• Manual de instrução de português.
• Garantia de, no mínimo, 90 dias.</t>
  </si>
  <si>
    <t>LIQUIDIFICADOR INDUSTRIAL, com as seguintes características;
• Com gabinete/corpo e copo em inox;
• Capacidade do copo: 1,5 a 2 litros;
• Com tecla/botão liga/desliga
• Com função pulsar
• Base antiderrapante;
• Potência: 800 W ou superior
• Tensão elétrica: 127 V
• Garantia de, no mínimo, 180 dias.</t>
  </si>
  <si>
    <t>LIQUIDIFICADOR INDUSTRIAL, com as seguintes características;
• Com gabinete/corpo e copo em inox;
• Capacidade do copo: 1,5 a 2 litros;
• Com tecla/botão liga/desliga
• Com função pulsar
• Base antiderrapante;
• Potência: 800 W ou superior
• Tensão elétrica: 220 V
• Garantia de, no mínimo, 180 dias.</t>
  </si>
  <si>
    <t>CENTRAL SUPORTES</t>
  </si>
  <si>
    <t>AQUAMAX</t>
  </si>
  <si>
    <t>DUTRA MAQUINAS</t>
  </si>
  <si>
    <t>MULTI MEGA</t>
  </si>
  <si>
    <t>ELETRO LUSTRES</t>
  </si>
  <si>
    <t>NORTE REFRIGERACAO</t>
  </si>
  <si>
    <t>CAFETEIRA ELÉTRICA INDUSTRIAL, com as seguintes características;
• Depósito em aço inox;
• Capacidade para 20 litros de café pronto;
• Termostato regulável na faixa de 20º C a 120º C.
• Tensão elétrica: 220 v;
• Potência mínima de aquecimento: 4000 W;
• Acompanha coador de pano.
• Garantia de, no mínimo, 90 dias.</t>
  </si>
  <si>
    <t>COMPRE CONOSCO</t>
  </si>
  <si>
    <t>MULTINETWORK</t>
  </si>
  <si>
    <t>NET COMPUTADORES</t>
  </si>
  <si>
    <t>VOXSHOP</t>
  </si>
  <si>
    <t>AUDIO VIDEO &amp; CIA</t>
  </si>
  <si>
    <t>GLOBAL PROJETORES</t>
  </si>
  <si>
    <t>HT CLICK</t>
  </si>
  <si>
    <t>IBRASILL STORE</t>
  </si>
  <si>
    <t>PC GAMER SETUP</t>
  </si>
  <si>
    <t>WEBCONTINENTAL</t>
  </si>
  <si>
    <t>WONDER CABOS</t>
  </si>
  <si>
    <t>KIT DE MICROFONE SEM FIO DE MÃO, DUPLO, COM RECEPTOR UHF, com as seguintes especificações;
Acompanha 2(dois) microfones com características:
• Cápsula: Dinâmica
• Frequência de trabalho: UHF (frequências homologadas pela Anatel)
• Impedância de saída: 600 ohms
• Com sincronizador infravermelho
• Resposta frequência: 40Hz a 16KHz Potência de saída: mínimo de 10mW
• Emissão de espúrios: menor ou igual a 40dB (with carrier)
• Estabilidade de frequência: mínimo de 0,0005%
• Padrão polar Super Cardioide
• Alimentação dos microfones: a pilhas AA ou 9V
• Corpo em metal</t>
  </si>
  <si>
    <t>IBBL</t>
  </si>
  <si>
    <t>LOJAS UNILAR</t>
  </si>
  <si>
    <t>H2O PURIFICADORES</t>
  </si>
  <si>
    <t>TOTAL FILTROS</t>
  </si>
  <si>
    <t>TELEVISOR LED, com as seguintes características:
• Diagonal entre 30 a 32 polegadas;
• Conversor digital integrado;
• Cor preta.
• Fonte bivolt 110-220 V
• Conexões
 Mínimo de 1 (uma)entradas HDMI;
 Mínimo de 1 (uma) entrada USB 2.0 ou superior com capacidade de reprodução de áudio, vídeo e musicas em alta resolução direto de dispositivo USB (Pen Drive);
 Mínimo de 1(uma) entrada de áudio
            /vídeo.
 Mínimo de uma entrada RF para TV aberta.
• Controle remoto munido das pilhas necessárias para o primeiro uso.
• Acompanhado de base para uso em mesa
• Garantia de, no mínimo, 360 dias.
• Manual em português.</t>
  </si>
  <si>
    <t>Lote</t>
  </si>
  <si>
    <t>Valor Total do Item</t>
  </si>
  <si>
    <t>Valor Total do lote</t>
  </si>
  <si>
    <t>n/a</t>
  </si>
  <si>
    <t>lote 1
(itens 32, 33 e 34)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</si>
</sst>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164" formatCode="[$R$-416]\ #,##0.00;[Red]\-[$R$-416]\ #,##0.00"/>
  </numFmts>
  <fonts count="19">
    <font>
      <sz val="10"/>
      <name val="Arial"/>
      <family val="2"/>
    </font>
    <font>
      <sz val="10"/>
      <name val="Arial"/>
    </font>
    <font>
      <sz val="10"/>
      <color indexed="9"/>
      <name val="Mangal"/>
      <family val="2"/>
    </font>
    <font>
      <sz val="10"/>
      <color indexed="8"/>
      <name val="Mangal"/>
      <family val="2"/>
    </font>
    <font>
      <sz val="10"/>
      <color indexed="10"/>
      <name val="Mangal"/>
      <family val="2"/>
    </font>
    <font>
      <sz val="10"/>
      <color indexed="23"/>
      <name val="Mangal"/>
      <family val="2"/>
    </font>
    <font>
      <sz val="10"/>
      <color indexed="17"/>
      <name val="Mangal"/>
      <family val="2"/>
    </font>
    <font>
      <sz val="10"/>
      <color indexed="19"/>
      <name val="Mangal"/>
      <family val="2"/>
    </font>
    <font>
      <sz val="10"/>
      <color indexed="63"/>
      <name val="Mangal"/>
      <family val="2"/>
    </font>
    <font>
      <u/>
      <sz val="10"/>
      <name val="Mangal"/>
      <family val="2"/>
    </font>
    <font>
      <sz val="10"/>
      <name val="Mangal"/>
      <family val="2"/>
    </font>
    <font>
      <sz val="10"/>
      <name val="Calibri"/>
      <family val="2"/>
      <scheme val="minor"/>
    </font>
    <font>
      <b/>
      <sz val="10"/>
      <name val="Calibri"/>
      <family val="2"/>
      <scheme val="minor"/>
    </font>
    <font>
      <b/>
      <sz val="9"/>
      <name val="Calibri"/>
      <family val="2"/>
      <scheme val="minor"/>
    </font>
    <font>
      <b/>
      <sz val="10"/>
      <color indexed="8"/>
      <name val="Calibri"/>
      <family val="2"/>
      <scheme val="minor"/>
    </font>
    <font>
      <sz val="10"/>
      <color indexed="8"/>
      <name val="Calibri"/>
      <family val="2"/>
      <scheme val="minor"/>
    </font>
    <font>
      <b/>
      <sz val="12"/>
      <name val="Calibri"/>
      <family val="2"/>
      <scheme val="minor"/>
    </font>
    <font>
      <b/>
      <sz val="13"/>
      <name val="Calibri"/>
      <family val="2"/>
      <scheme val="minor"/>
    </font>
    <font>
      <b/>
      <sz val="11"/>
      <name val="Calibri"/>
      <family val="2"/>
      <scheme val="minor"/>
    </font>
  </fonts>
  <fills count="13">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
      <patternFill patternType="solid">
        <fgColor theme="2" tint="-9.9978637043366805E-2"/>
        <bgColor indexed="64"/>
      </patternFill>
    </fill>
    <fill>
      <patternFill patternType="solid">
        <fgColor theme="2" tint="-0.249977111117893"/>
        <bgColor indexed="47"/>
      </patternFill>
    </fill>
    <fill>
      <patternFill patternType="solid">
        <fgColor theme="2" tint="-0.249977111117893"/>
        <bgColor indexed="64"/>
      </patternFill>
    </fill>
    <fill>
      <patternFill patternType="solid">
        <fgColor theme="2"/>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hair">
        <color indexed="8"/>
      </left>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right/>
      <top style="hair">
        <color indexed="8"/>
      </top>
      <bottom/>
      <diagonal/>
    </border>
    <border>
      <left style="hair">
        <color indexed="8"/>
      </left>
      <right style="hair">
        <color indexed="8"/>
      </right>
      <top style="hair">
        <color indexed="8"/>
      </top>
      <bottom/>
      <diagonal/>
    </border>
    <border>
      <left style="hair">
        <color indexed="64"/>
      </left>
      <right style="hair">
        <color indexed="64"/>
      </right>
      <top style="hair">
        <color indexed="64"/>
      </top>
      <bottom style="hair">
        <color indexed="64"/>
      </bottom>
      <diagonal/>
    </border>
    <border>
      <left/>
      <right style="hair">
        <color indexed="8"/>
      </right>
      <top style="hair">
        <color indexed="8"/>
      </top>
      <bottom style="hair">
        <color indexed="8"/>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8"/>
      </left>
      <right style="hair">
        <color indexed="8"/>
      </right>
      <top/>
      <bottom/>
      <diagonal/>
    </border>
    <border>
      <left style="hair">
        <color indexed="8"/>
      </left>
      <right style="hair">
        <color indexed="8"/>
      </right>
      <top/>
      <bottom style="hair">
        <color indexed="8"/>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hair">
        <color indexed="64"/>
      </bottom>
      <diagonal/>
    </border>
  </borders>
  <cellStyleXfs count="21">
    <xf numFmtId="0" fontId="0" fillId="0" borderId="0"/>
    <xf numFmtId="0" fontId="2"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0" fontId="3" fillId="0" borderId="0" applyNumberFormat="0" applyFill="0" applyBorder="0" applyAlignment="0" applyProtection="0"/>
    <xf numFmtId="0" fontId="4" fillId="5" borderId="0" applyNumberFormat="0" applyBorder="0" applyAlignment="0" applyProtection="0"/>
    <xf numFmtId="0" fontId="2" fillId="6" borderId="0" applyNumberFormat="0" applyBorder="0" applyAlignment="0" applyProtection="0"/>
    <xf numFmtId="0" fontId="5" fillId="0" borderId="0" applyNumberFormat="0" applyFill="0" applyBorder="0" applyAlignment="0" applyProtection="0"/>
    <xf numFmtId="0" fontId="6" fillId="7" borderId="0" applyNumberFormat="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44" fontId="1" fillId="0" borderId="0" applyFill="0" applyBorder="0" applyAlignment="0" applyProtection="0"/>
    <xf numFmtId="0" fontId="7" fillId="8" borderId="0" applyNumberFormat="0" applyBorder="0" applyAlignment="0" applyProtection="0"/>
    <xf numFmtId="0" fontId="8" fillId="8" borderId="1" applyNumberFormat="0" applyAlignment="0" applyProtection="0"/>
    <xf numFmtId="0" fontId="9" fillId="0" borderId="0" applyNumberFormat="0" applyFill="0" applyBorder="0" applyAlignment="0" applyProtection="0"/>
    <xf numFmtId="164" fontId="9" fillId="0" borderId="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Protection="0">
      <alignment horizontal="center" textRotation="90"/>
    </xf>
    <xf numFmtId="0" fontId="4" fillId="0" borderId="0" applyNumberFormat="0" applyFill="0" applyBorder="0" applyAlignment="0" applyProtection="0"/>
  </cellStyleXfs>
  <cellXfs count="93">
    <xf numFmtId="0" fontId="0" fillId="0" borderId="0" xfId="0"/>
    <xf numFmtId="0" fontId="11" fillId="0" borderId="0" xfId="0" applyFont="1" applyAlignment="1">
      <alignment wrapText="1"/>
    </xf>
    <xf numFmtId="0" fontId="11" fillId="0" borderId="0" xfId="0" applyFont="1" applyAlignment="1"/>
    <xf numFmtId="0" fontId="11" fillId="0" borderId="0" xfId="0" applyFont="1" applyProtection="1">
      <protection locked="0"/>
    </xf>
    <xf numFmtId="0" fontId="13" fillId="0" borderId="3" xfId="0" applyFont="1" applyBorder="1" applyProtection="1">
      <protection locked="0"/>
    </xf>
    <xf numFmtId="0" fontId="12" fillId="0" borderId="5" xfId="0" applyFont="1" applyBorder="1" applyAlignment="1" applyProtection="1">
      <alignment horizontal="center" vertical="center"/>
      <protection locked="0"/>
    </xf>
    <xf numFmtId="0" fontId="15" fillId="0" borderId="5" xfId="0" applyFont="1" applyBorder="1" applyAlignment="1" applyProtection="1">
      <alignment horizontal="left" vertical="center" wrapText="1"/>
      <protection locked="0"/>
    </xf>
    <xf numFmtId="0" fontId="15" fillId="0" borderId="4" xfId="0" applyFont="1" applyBorder="1" applyAlignment="1" applyProtection="1">
      <alignment horizontal="left" vertical="center" wrapText="1"/>
      <protection locked="0"/>
    </xf>
    <xf numFmtId="0" fontId="15" fillId="0" borderId="4" xfId="0" applyFont="1" applyBorder="1" applyAlignment="1" applyProtection="1">
      <alignment horizontal="center" vertical="center" wrapText="1"/>
      <protection locked="0"/>
    </xf>
    <xf numFmtId="0" fontId="15" fillId="0" borderId="5" xfId="0" applyFont="1" applyBorder="1" applyAlignment="1" applyProtection="1">
      <alignment horizontal="center" vertical="center" wrapText="1"/>
      <protection locked="0"/>
    </xf>
    <xf numFmtId="0" fontId="13" fillId="0" borderId="5" xfId="0" applyFont="1" applyBorder="1" applyProtection="1">
      <protection locked="0"/>
    </xf>
    <xf numFmtId="164" fontId="14" fillId="0" borderId="0" xfId="0" applyNumberFormat="1" applyFont="1" applyBorder="1" applyAlignment="1" applyProtection="1">
      <alignment horizontal="center"/>
      <protection locked="0"/>
    </xf>
    <xf numFmtId="164" fontId="11" fillId="0" borderId="0" xfId="0" applyNumberFormat="1" applyFont="1" applyBorder="1" applyAlignment="1" applyProtection="1">
      <protection locked="0"/>
    </xf>
    <xf numFmtId="164" fontId="14" fillId="0" borderId="3" xfId="0" applyNumberFormat="1" applyFont="1" applyBorder="1" applyAlignment="1" applyProtection="1">
      <alignment horizontal="center" shrinkToFit="1"/>
      <protection locked="0"/>
    </xf>
    <xf numFmtId="0" fontId="12" fillId="9" borderId="2" xfId="0" applyFont="1" applyFill="1" applyBorder="1" applyAlignment="1" applyProtection="1">
      <alignment horizontal="center" vertical="center" wrapText="1"/>
    </xf>
    <xf numFmtId="0" fontId="12" fillId="9" borderId="3" xfId="0" applyFont="1" applyFill="1" applyBorder="1" applyAlignment="1" applyProtection="1">
      <alignment horizontal="center" vertical="center"/>
    </xf>
    <xf numFmtId="0" fontId="12" fillId="9" borderId="3" xfId="0" applyFont="1" applyFill="1" applyBorder="1" applyAlignment="1" applyProtection="1">
      <alignment horizontal="center" vertical="center" wrapText="1"/>
    </xf>
    <xf numFmtId="0" fontId="14" fillId="9" borderId="3" xfId="0" applyFont="1" applyFill="1" applyBorder="1" applyAlignment="1" applyProtection="1">
      <alignment horizontal="center" vertical="center"/>
    </xf>
    <xf numFmtId="0" fontId="14" fillId="9" borderId="3" xfId="0" applyFont="1" applyFill="1" applyBorder="1" applyAlignment="1" applyProtection="1">
      <alignment horizontal="center" vertical="center" wrapText="1"/>
    </xf>
    <xf numFmtId="0" fontId="11" fillId="9" borderId="3" xfId="0" applyFont="1" applyFill="1" applyBorder="1" applyAlignment="1" applyProtection="1">
      <alignment horizontal="center"/>
    </xf>
    <xf numFmtId="10" fontId="11" fillId="9" borderId="6" xfId="0" applyNumberFormat="1" applyFont="1" applyFill="1" applyBorder="1" applyAlignment="1" applyProtection="1">
      <alignment horizontal="center"/>
    </xf>
    <xf numFmtId="164" fontId="15" fillId="9" borderId="5" xfId="0" applyNumberFormat="1" applyFont="1" applyFill="1" applyBorder="1" applyAlignment="1" applyProtection="1">
      <alignment horizontal="center" shrinkToFit="1"/>
    </xf>
    <xf numFmtId="164" fontId="15" fillId="9" borderId="3" xfId="0" applyNumberFormat="1" applyFont="1" applyFill="1" applyBorder="1" applyAlignment="1" applyProtection="1">
      <alignment horizontal="center" shrinkToFit="1"/>
    </xf>
    <xf numFmtId="164" fontId="12" fillId="9" borderId="3" xfId="0" applyNumberFormat="1" applyFont="1" applyFill="1" applyBorder="1" applyAlignment="1" applyProtection="1">
      <alignment horizontal="left"/>
    </xf>
    <xf numFmtId="164" fontId="11" fillId="9" borderId="3" xfId="0" applyNumberFormat="1" applyFont="1" applyFill="1" applyBorder="1" applyAlignment="1" applyProtection="1">
      <alignment horizontal="right" shrinkToFit="1"/>
    </xf>
    <xf numFmtId="164" fontId="14" fillId="9" borderId="17" xfId="0" applyNumberFormat="1" applyFont="1" applyFill="1" applyBorder="1" applyAlignment="1" applyProtection="1">
      <alignment horizontal="center" vertical="center"/>
    </xf>
    <xf numFmtId="164" fontId="15" fillId="9" borderId="17" xfId="0" applyNumberFormat="1" applyFont="1" applyFill="1" applyBorder="1" applyAlignment="1" applyProtection="1">
      <alignment horizontal="right" shrinkToFit="1"/>
    </xf>
    <xf numFmtId="0" fontId="12" fillId="9" borderId="17" xfId="0" applyFont="1" applyFill="1" applyBorder="1" applyAlignment="1" applyProtection="1">
      <alignment horizontal="center" vertical="center"/>
    </xf>
    <xf numFmtId="164" fontId="11" fillId="9" borderId="17" xfId="0" applyNumberFormat="1" applyFont="1" applyFill="1" applyBorder="1" applyAlignment="1" applyProtection="1">
      <alignment horizontal="right" shrinkToFit="1"/>
    </xf>
    <xf numFmtId="164" fontId="14" fillId="9" borderId="3" xfId="0" applyNumberFormat="1" applyFont="1" applyFill="1" applyBorder="1" applyAlignment="1" applyProtection="1">
      <alignment horizontal="center" shrinkToFit="1"/>
    </xf>
    <xf numFmtId="0" fontId="12" fillId="9" borderId="2" xfId="0" applyFont="1" applyFill="1" applyBorder="1" applyAlignment="1" applyProtection="1">
      <alignment horizontal="center" vertical="center"/>
    </xf>
    <xf numFmtId="164" fontId="11" fillId="0" borderId="0" xfId="0" applyNumberFormat="1" applyFont="1" applyBorder="1" applyAlignment="1" applyProtection="1">
      <alignment horizontal="left"/>
      <protection locked="0"/>
    </xf>
    <xf numFmtId="0" fontId="12" fillId="0" borderId="0" xfId="0" applyFont="1" applyBorder="1" applyAlignment="1" applyProtection="1">
      <protection locked="0"/>
    </xf>
    <xf numFmtId="164" fontId="11" fillId="0" borderId="5" xfId="0" applyNumberFormat="1" applyFont="1" applyBorder="1" applyAlignment="1" applyProtection="1">
      <alignment horizontal="left"/>
      <protection locked="0"/>
    </xf>
    <xf numFmtId="164" fontId="11" fillId="0" borderId="0" xfId="0" applyNumberFormat="1" applyFont="1" applyBorder="1" applyAlignment="1" applyProtection="1">
      <alignment horizontal="right"/>
      <protection locked="0"/>
    </xf>
    <xf numFmtId="164" fontId="15" fillId="0" borderId="0" xfId="0" applyNumberFormat="1" applyFont="1" applyFill="1" applyBorder="1" applyAlignment="1" applyProtection="1">
      <protection locked="0"/>
    </xf>
    <xf numFmtId="164" fontId="14" fillId="0" borderId="0" xfId="0" applyNumberFormat="1" applyFont="1" applyFill="1" applyBorder="1" applyAlignment="1" applyProtection="1">
      <protection locked="0"/>
    </xf>
    <xf numFmtId="0" fontId="12" fillId="0" borderId="0" xfId="0" applyFont="1" applyBorder="1" applyAlignment="1" applyProtection="1">
      <alignment horizontal="center"/>
      <protection locked="0"/>
    </xf>
    <xf numFmtId="0" fontId="16" fillId="0" borderId="10" xfId="0" applyFont="1" applyFill="1" applyBorder="1" applyAlignment="1">
      <alignment wrapText="1"/>
    </xf>
    <xf numFmtId="44" fontId="16" fillId="11" borderId="7" xfId="0" applyNumberFormat="1" applyFont="1" applyFill="1" applyBorder="1" applyAlignment="1">
      <alignment wrapText="1"/>
    </xf>
    <xf numFmtId="0" fontId="12" fillId="9" borderId="7" xfId="0" applyFont="1" applyFill="1" applyBorder="1" applyAlignment="1">
      <alignment horizontal="center" vertical="center" wrapText="1"/>
    </xf>
    <xf numFmtId="0" fontId="11" fillId="9" borderId="7" xfId="0" applyFont="1" applyFill="1" applyBorder="1" applyAlignment="1">
      <alignment horizontal="center" vertical="center" wrapText="1"/>
    </xf>
    <xf numFmtId="0" fontId="11" fillId="9" borderId="7" xfId="0" applyFont="1" applyFill="1" applyBorder="1" applyAlignment="1">
      <alignment vertical="center" wrapText="1"/>
    </xf>
    <xf numFmtId="44" fontId="11" fillId="9" borderId="7" xfId="12" applyFont="1" applyFill="1" applyBorder="1" applyAlignment="1">
      <alignment vertical="center" wrapText="1"/>
    </xf>
    <xf numFmtId="0" fontId="12" fillId="11" borderId="7" xfId="0" applyFont="1" applyFill="1" applyBorder="1" applyAlignment="1">
      <alignment horizontal="center" vertical="center" wrapText="1"/>
    </xf>
    <xf numFmtId="0" fontId="11" fillId="0" borderId="0" xfId="0" applyFont="1" applyAlignment="1">
      <alignment horizontal="center" wrapText="1"/>
    </xf>
    <xf numFmtId="0" fontId="11" fillId="12" borderId="7" xfId="0" applyFont="1" applyFill="1" applyBorder="1" applyAlignment="1">
      <alignment horizontal="center" vertical="center" wrapText="1"/>
    </xf>
    <xf numFmtId="0" fontId="11" fillId="12" borderId="7" xfId="0" applyFont="1" applyFill="1" applyBorder="1" applyAlignment="1">
      <alignment vertical="center" wrapText="1"/>
    </xf>
    <xf numFmtId="44" fontId="11" fillId="12" borderId="7" xfId="12" applyFont="1" applyFill="1" applyBorder="1" applyAlignment="1">
      <alignment vertical="center" wrapText="1"/>
    </xf>
    <xf numFmtId="0" fontId="11" fillId="9" borderId="9" xfId="0" applyFont="1" applyFill="1" applyBorder="1" applyAlignment="1" applyProtection="1">
      <alignment wrapText="1"/>
    </xf>
    <xf numFmtId="0" fontId="11" fillId="9" borderId="10" xfId="0" applyFont="1" applyFill="1" applyBorder="1" applyAlignment="1" applyProtection="1">
      <alignment wrapText="1"/>
    </xf>
    <xf numFmtId="0" fontId="11" fillId="9" borderId="11" xfId="0" applyFont="1" applyFill="1" applyBorder="1" applyAlignment="1" applyProtection="1">
      <alignment wrapText="1"/>
    </xf>
    <xf numFmtId="0" fontId="11" fillId="9" borderId="12" xfId="0" applyFont="1" applyFill="1" applyBorder="1" applyAlignment="1" applyProtection="1">
      <alignment wrapText="1"/>
    </xf>
    <xf numFmtId="0" fontId="11" fillId="9" borderId="13" xfId="0" applyFont="1" applyFill="1" applyBorder="1" applyAlignment="1" applyProtection="1">
      <alignment wrapText="1"/>
    </xf>
    <xf numFmtId="0" fontId="11" fillId="9" borderId="14" xfId="0" applyFont="1" applyFill="1" applyBorder="1" applyAlignment="1" applyProtection="1">
      <alignment wrapText="1"/>
    </xf>
    <xf numFmtId="0" fontId="12" fillId="9" borderId="2" xfId="0" applyFont="1" applyFill="1" applyBorder="1" applyAlignment="1" applyProtection="1">
      <alignment horizontal="center" vertical="center"/>
    </xf>
    <xf numFmtId="0" fontId="12" fillId="9" borderId="8"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6" fillId="10" borderId="2" xfId="0" applyFont="1" applyFill="1" applyBorder="1" applyAlignment="1" applyProtection="1">
      <alignment horizontal="center"/>
    </xf>
    <xf numFmtId="0" fontId="16" fillId="10" borderId="4" xfId="0" applyFont="1" applyFill="1" applyBorder="1" applyAlignment="1" applyProtection="1">
      <alignment horizontal="center"/>
    </xf>
    <xf numFmtId="0" fontId="16" fillId="10" borderId="8" xfId="0" applyFont="1" applyFill="1" applyBorder="1" applyAlignment="1" applyProtection="1">
      <alignment horizontal="center"/>
    </xf>
    <xf numFmtId="0" fontId="12" fillId="0" borderId="2" xfId="0" applyFont="1" applyBorder="1" applyAlignment="1" applyProtection="1">
      <alignment horizontal="center" vertical="center"/>
      <protection locked="0"/>
    </xf>
    <xf numFmtId="0" fontId="15" fillId="0" borderId="6" xfId="0" applyFont="1" applyBorder="1" applyAlignment="1" applyProtection="1">
      <alignment vertical="top" wrapText="1"/>
      <protection locked="0"/>
    </xf>
    <xf numFmtId="0" fontId="15" fillId="0" borderId="15" xfId="0" applyFont="1" applyBorder="1" applyAlignment="1" applyProtection="1">
      <alignment vertical="top" wrapText="1"/>
      <protection locked="0"/>
    </xf>
    <xf numFmtId="0" fontId="15" fillId="0" borderId="16" xfId="0" applyFont="1" applyBorder="1" applyAlignment="1" applyProtection="1">
      <alignment vertical="top" wrapText="1"/>
      <protection locked="0"/>
    </xf>
    <xf numFmtId="0" fontId="15" fillId="0" borderId="6" xfId="0" applyFont="1" applyBorder="1" applyAlignment="1" applyProtection="1">
      <alignment horizontal="center" vertical="center" wrapText="1"/>
      <protection locked="0"/>
    </xf>
    <xf numFmtId="0" fontId="15" fillId="0" borderId="15" xfId="0" applyFont="1" applyBorder="1" applyAlignment="1" applyProtection="1">
      <alignment horizontal="center" vertical="center" wrapText="1"/>
      <protection locked="0"/>
    </xf>
    <xf numFmtId="0" fontId="15" fillId="0" borderId="16" xfId="0" applyFont="1" applyBorder="1" applyAlignment="1" applyProtection="1">
      <alignment horizontal="center" vertical="center" wrapText="1"/>
      <protection locked="0"/>
    </xf>
    <xf numFmtId="0" fontId="15" fillId="0" borderId="6" xfId="0" applyFont="1" applyBorder="1" applyAlignment="1" applyProtection="1">
      <alignment horizontal="center" vertical="center" shrinkToFit="1"/>
      <protection locked="0"/>
    </xf>
    <xf numFmtId="0" fontId="15" fillId="0" borderId="15" xfId="0" applyFont="1" applyBorder="1" applyAlignment="1" applyProtection="1">
      <alignment horizontal="center" vertical="center" shrinkToFit="1"/>
      <protection locked="0"/>
    </xf>
    <xf numFmtId="0" fontId="15" fillId="0" borderId="16" xfId="0" applyFont="1" applyBorder="1" applyAlignment="1" applyProtection="1">
      <alignment horizontal="center" vertical="center" shrinkToFit="1"/>
      <protection locked="0"/>
    </xf>
    <xf numFmtId="164" fontId="14" fillId="9" borderId="6" xfId="0" applyNumberFormat="1" applyFont="1" applyFill="1" applyBorder="1" applyAlignment="1" applyProtection="1">
      <alignment horizontal="center" vertical="center" shrinkToFit="1"/>
    </xf>
    <xf numFmtId="164" fontId="14" fillId="9" borderId="15" xfId="0" applyNumberFormat="1" applyFont="1" applyFill="1" applyBorder="1" applyAlignment="1" applyProtection="1">
      <alignment horizontal="center" vertical="center" shrinkToFit="1"/>
    </xf>
    <xf numFmtId="164" fontId="14" fillId="9" borderId="16" xfId="0" applyNumberFormat="1" applyFont="1" applyFill="1" applyBorder="1" applyAlignment="1" applyProtection="1">
      <alignment horizontal="center" vertical="center" shrinkToFit="1"/>
    </xf>
    <xf numFmtId="0" fontId="16" fillId="11" borderId="7" xfId="0" applyFont="1" applyFill="1" applyBorder="1" applyAlignment="1">
      <alignment horizontal="center" wrapText="1"/>
    </xf>
    <xf numFmtId="0" fontId="16" fillId="11" borderId="18" xfId="0" applyFont="1" applyFill="1" applyBorder="1" applyAlignment="1">
      <alignment horizontal="center" wrapText="1"/>
    </xf>
    <xf numFmtId="0" fontId="16" fillId="11" borderId="19" xfId="0" applyFont="1" applyFill="1" applyBorder="1" applyAlignment="1">
      <alignment horizontal="center" wrapText="1"/>
    </xf>
    <xf numFmtId="0" fontId="16" fillId="11" borderId="20" xfId="0" applyFont="1" applyFill="1" applyBorder="1" applyAlignment="1">
      <alignment horizontal="center" wrapText="1"/>
    </xf>
    <xf numFmtId="0" fontId="17" fillId="11" borderId="12" xfId="0" applyFont="1" applyFill="1" applyBorder="1" applyAlignment="1">
      <alignment horizontal="left" vertical="center" wrapText="1"/>
    </xf>
    <xf numFmtId="0" fontId="17" fillId="11" borderId="13" xfId="0" applyFont="1" applyFill="1" applyBorder="1" applyAlignment="1">
      <alignment horizontal="left" vertical="center" wrapText="1"/>
    </xf>
    <xf numFmtId="0" fontId="17" fillId="11" borderId="14" xfId="0" applyFont="1" applyFill="1" applyBorder="1" applyAlignment="1">
      <alignment horizontal="left" vertical="center" wrapText="1"/>
    </xf>
    <xf numFmtId="0" fontId="17" fillId="11" borderId="18" xfId="0" applyFont="1" applyFill="1" applyBorder="1" applyAlignment="1">
      <alignment horizontal="left" vertical="center" wrapText="1"/>
    </xf>
    <xf numFmtId="0" fontId="17" fillId="11" borderId="19" xfId="0" applyFont="1" applyFill="1" applyBorder="1" applyAlignment="1">
      <alignment horizontal="left" vertical="center" wrapText="1"/>
    </xf>
    <xf numFmtId="0" fontId="17" fillId="11" borderId="20" xfId="0" applyFont="1" applyFill="1" applyBorder="1" applyAlignment="1">
      <alignment horizontal="left" vertical="center" wrapText="1"/>
    </xf>
    <xf numFmtId="44" fontId="11" fillId="9" borderId="7" xfId="12" applyFont="1" applyFill="1" applyBorder="1" applyAlignment="1">
      <alignment horizontal="center" vertical="center" wrapText="1"/>
    </xf>
    <xf numFmtId="44" fontId="11" fillId="12" borderId="7" xfId="12" applyFont="1" applyFill="1" applyBorder="1" applyAlignment="1">
      <alignment horizontal="center" vertical="center" wrapText="1"/>
    </xf>
    <xf numFmtId="0" fontId="18" fillId="12" borderId="21" xfId="0" applyFont="1" applyFill="1" applyBorder="1" applyAlignment="1">
      <alignment horizontal="center" vertical="center" wrapText="1"/>
    </xf>
    <xf numFmtId="0" fontId="18" fillId="12" borderId="22" xfId="0" applyFont="1" applyFill="1" applyBorder="1" applyAlignment="1">
      <alignment horizontal="center" vertical="center" wrapText="1"/>
    </xf>
    <xf numFmtId="0" fontId="18" fillId="12" borderId="23" xfId="0" applyFont="1" applyFill="1" applyBorder="1" applyAlignment="1">
      <alignment horizontal="center" vertical="center" wrapText="1"/>
    </xf>
    <xf numFmtId="44" fontId="12" fillId="12" borderId="21" xfId="12" applyFont="1" applyFill="1" applyBorder="1" applyAlignment="1">
      <alignment horizontal="center" vertical="center" wrapText="1"/>
    </xf>
    <xf numFmtId="44" fontId="12" fillId="12" borderId="22" xfId="12" applyFont="1" applyFill="1" applyBorder="1" applyAlignment="1">
      <alignment horizontal="center" vertical="center" wrapText="1"/>
    </xf>
    <xf numFmtId="44" fontId="12" fillId="12" borderId="23" xfId="12" applyFont="1" applyFill="1" applyBorder="1" applyAlignment="1">
      <alignment horizontal="center" vertical="center" wrapText="1"/>
    </xf>
    <xf numFmtId="0" fontId="16" fillId="11" borderId="24" xfId="0" applyFont="1" applyFill="1" applyBorder="1" applyAlignment="1">
      <alignment horizontal="center" wrapText="1"/>
    </xf>
  </cellXfs>
  <cellStyles count="21">
    <cellStyle name="Accent 1 1" xfId="1"/>
    <cellStyle name="Accent 2 1" xfId="2"/>
    <cellStyle name="Accent 3 1" xfId="3"/>
    <cellStyle name="Accent 4" xfId="4"/>
    <cellStyle name="Bad 1" xfId="5"/>
    <cellStyle name="Error 1" xfId="6"/>
    <cellStyle name="Footnote 1" xfId="7"/>
    <cellStyle name="Good 1" xfId="8"/>
    <cellStyle name="Heading 1 1" xfId="9"/>
    <cellStyle name="Heading 2 1" xfId="10"/>
    <cellStyle name="Heading 3" xfId="11"/>
    <cellStyle name="Moeda" xfId="12"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3009900</xdr:colOff>
      <xdr:row>0</xdr:row>
      <xdr:rowOff>0</xdr:rowOff>
    </xdr:from>
    <xdr:to>
      <xdr:col>3</xdr:col>
      <xdr:colOff>114300</xdr:colOff>
      <xdr:row>6</xdr:row>
      <xdr:rowOff>129923</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48225" y="0"/>
          <a:ext cx="2895600" cy="1101473"/>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B18" sqref="B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0</v>
      </c>
      <c r="B2" s="30" t="s">
        <v>24</v>
      </c>
      <c r="C2" s="30" t="s">
        <v>1</v>
      </c>
      <c r="D2" s="30" t="s">
        <v>2</v>
      </c>
      <c r="E2" s="14" t="s">
        <v>32</v>
      </c>
      <c r="F2" s="14" t="s">
        <v>33</v>
      </c>
      <c r="G2" s="30" t="s">
        <v>3</v>
      </c>
      <c r="H2" s="15" t="s">
        <v>4</v>
      </c>
      <c r="I2" s="16" t="s">
        <v>10</v>
      </c>
    </row>
    <row r="3" spans="1:9" ht="12.75" customHeight="1">
      <c r="A3" s="61"/>
      <c r="B3" s="62" t="s">
        <v>205</v>
      </c>
      <c r="C3" s="65" t="s">
        <v>8</v>
      </c>
      <c r="D3" s="68">
        <v>25</v>
      </c>
      <c r="E3" s="71">
        <f>IF(C20&lt;=25%,D20,MIN(E20:F20))</f>
        <v>962</v>
      </c>
      <c r="F3" s="71">
        <f>MIN(H3:H17)</f>
        <v>899</v>
      </c>
      <c r="G3" s="4" t="s">
        <v>118</v>
      </c>
      <c r="H3" s="13">
        <v>1099.99</v>
      </c>
      <c r="I3" s="29" t="str">
        <f>IF(H3="","",(IF($C$20&lt;25%,"N/A",IF(H3&lt;=($D$20+$A$20),H3,"Descartado"))))</f>
        <v>N/A</v>
      </c>
    </row>
    <row r="4" spans="1:9">
      <c r="A4" s="61"/>
      <c r="B4" s="63"/>
      <c r="C4" s="66"/>
      <c r="D4" s="69"/>
      <c r="E4" s="72"/>
      <c r="F4" s="72"/>
      <c r="G4" s="4" t="s">
        <v>119</v>
      </c>
      <c r="H4" s="13">
        <v>949</v>
      </c>
      <c r="I4" s="29" t="str">
        <f t="shared" ref="I4:I17" si="0">IF(H4="","",(IF($C$20&lt;25%,"N/A",IF(H4&lt;=($D$20+$A$20),H4,"Descartado"))))</f>
        <v>N/A</v>
      </c>
    </row>
    <row r="5" spans="1:9">
      <c r="A5" s="61"/>
      <c r="B5" s="63"/>
      <c r="C5" s="66"/>
      <c r="D5" s="69"/>
      <c r="E5" s="72"/>
      <c r="F5" s="72"/>
      <c r="G5" s="4" t="s">
        <v>120</v>
      </c>
      <c r="H5" s="13">
        <v>899</v>
      </c>
      <c r="I5" s="29" t="str">
        <f t="shared" si="0"/>
        <v>N/A</v>
      </c>
    </row>
    <row r="6" spans="1:9">
      <c r="A6" s="61"/>
      <c r="B6" s="63"/>
      <c r="C6" s="66"/>
      <c r="D6" s="69"/>
      <c r="E6" s="72"/>
      <c r="F6" s="72"/>
      <c r="G6" s="4" t="s">
        <v>122</v>
      </c>
      <c r="H6" s="13">
        <v>899.99</v>
      </c>
      <c r="I6" s="29" t="str">
        <f t="shared" si="0"/>
        <v>N/A</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94.911327213000945</v>
      </c>
      <c r="B20" s="19">
        <f>COUNT(H3:H17)</f>
        <v>4</v>
      </c>
      <c r="C20" s="20">
        <f>IF(B20&lt;2,"N/A",(A20/D20))</f>
        <v>9.8660423298337782E-2</v>
      </c>
      <c r="D20" s="21">
        <f>ROUND(AVERAGE(H3:H17),2)</f>
        <v>962</v>
      </c>
      <c r="E20" s="22" t="str">
        <f>IFERROR(ROUND(IF(B20&lt;2,"N/A",(IF(C20&lt;=25%,"N/A",AVERAGE(I3:I17)))),2),"N/A")</f>
        <v>N/A</v>
      </c>
      <c r="F20" s="22">
        <f>ROUND(MEDIAN(H3:H17),2)</f>
        <v>924.5</v>
      </c>
      <c r="G20" s="23" t="str">
        <f>INDEX(G3:G17,MATCH(H20,H3:H17,0))</f>
        <v>CASAS BAHIA</v>
      </c>
      <c r="H20" s="24">
        <f>MIN(H3:H17)</f>
        <v>899</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962</v>
      </c>
    </row>
    <row r="23" spans="1:11">
      <c r="B23" s="32"/>
      <c r="C23" s="32"/>
      <c r="D23" s="57"/>
      <c r="E23" s="57"/>
      <c r="F23" s="36"/>
      <c r="G23" s="27" t="s">
        <v>9</v>
      </c>
      <c r="H23" s="28">
        <f>ROUND(H22,2)*D3</f>
        <v>24050</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9" sqref="H9"/>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50</v>
      </c>
      <c r="B2" s="30" t="s">
        <v>24</v>
      </c>
      <c r="C2" s="30" t="s">
        <v>1</v>
      </c>
      <c r="D2" s="30" t="s">
        <v>2</v>
      </c>
      <c r="E2" s="14" t="s">
        <v>32</v>
      </c>
      <c r="F2" s="14" t="s">
        <v>33</v>
      </c>
      <c r="G2" s="30" t="s">
        <v>3</v>
      </c>
      <c r="H2" s="15" t="s">
        <v>4</v>
      </c>
      <c r="I2" s="16" t="s">
        <v>10</v>
      </c>
    </row>
    <row r="3" spans="1:9" ht="12.75" customHeight="1">
      <c r="A3" s="61"/>
      <c r="B3" s="62" t="s">
        <v>97</v>
      </c>
      <c r="C3" s="65" t="s">
        <v>8</v>
      </c>
      <c r="D3" s="68">
        <v>30</v>
      </c>
      <c r="E3" s="71">
        <f>IF(C20&lt;=25%,D20,MIN(E20:F20))</f>
        <v>722.5</v>
      </c>
      <c r="F3" s="71">
        <f>MIN(H3:H17)</f>
        <v>568.1</v>
      </c>
      <c r="G3" s="4" t="s">
        <v>120</v>
      </c>
      <c r="H3" s="13">
        <v>639</v>
      </c>
      <c r="I3" s="29" t="str">
        <f>IF(H3="","",(IF($C$20&lt;25%,"N/A",IF(H3&lt;=($D$20+$A$20),H3,"Descartado"))))</f>
        <v>N/A</v>
      </c>
    </row>
    <row r="4" spans="1:9">
      <c r="A4" s="61"/>
      <c r="B4" s="63"/>
      <c r="C4" s="66"/>
      <c r="D4" s="69"/>
      <c r="E4" s="72"/>
      <c r="F4" s="72"/>
      <c r="G4" s="4" t="s">
        <v>144</v>
      </c>
      <c r="H4" s="13">
        <v>664.05</v>
      </c>
      <c r="I4" s="29" t="str">
        <f t="shared" ref="I4:I17" si="0">IF(H4="","",(IF($C$20&lt;25%,"N/A",IF(H4&lt;=($D$20+$A$20),H4,"Descartado"))))</f>
        <v>N/A</v>
      </c>
    </row>
    <row r="5" spans="1:9">
      <c r="A5" s="61"/>
      <c r="B5" s="63"/>
      <c r="C5" s="66"/>
      <c r="D5" s="69"/>
      <c r="E5" s="72"/>
      <c r="F5" s="72"/>
      <c r="G5" s="4" t="s">
        <v>145</v>
      </c>
      <c r="H5" s="13">
        <v>568.1</v>
      </c>
      <c r="I5" s="29" t="str">
        <f t="shared" si="0"/>
        <v>N/A</v>
      </c>
    </row>
    <row r="6" spans="1:9">
      <c r="A6" s="61"/>
      <c r="B6" s="63"/>
      <c r="C6" s="66"/>
      <c r="D6" s="69"/>
      <c r="E6" s="72"/>
      <c r="F6" s="72"/>
      <c r="G6" s="4" t="s">
        <v>123</v>
      </c>
      <c r="H6" s="13">
        <v>849.9</v>
      </c>
      <c r="I6" s="29" t="str">
        <f t="shared" si="0"/>
        <v>N/A</v>
      </c>
    </row>
    <row r="7" spans="1:9">
      <c r="A7" s="61"/>
      <c r="B7" s="63"/>
      <c r="C7" s="66"/>
      <c r="D7" s="69"/>
      <c r="E7" s="72"/>
      <c r="F7" s="72"/>
      <c r="G7" s="4" t="s">
        <v>141</v>
      </c>
      <c r="H7" s="13">
        <v>949.9</v>
      </c>
      <c r="I7" s="29" t="str">
        <f t="shared" si="0"/>
        <v>N/A</v>
      </c>
    </row>
    <row r="8" spans="1:9">
      <c r="A8" s="61"/>
      <c r="B8" s="63"/>
      <c r="C8" s="66"/>
      <c r="D8" s="69"/>
      <c r="E8" s="72"/>
      <c r="F8" s="72"/>
      <c r="G8" s="4" t="s">
        <v>121</v>
      </c>
      <c r="H8" s="13">
        <v>664.05</v>
      </c>
      <c r="I8" s="29" t="str">
        <f t="shared" si="0"/>
        <v>N/A</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145.3175385147984</v>
      </c>
      <c r="B20" s="19">
        <f>COUNT(H3:H17)</f>
        <v>6</v>
      </c>
      <c r="C20" s="20">
        <f>IF(B20&lt;2,"N/A",(A20/D20))</f>
        <v>0.20113154119695281</v>
      </c>
      <c r="D20" s="21">
        <f>ROUND(AVERAGE(H3:H17),2)</f>
        <v>722.5</v>
      </c>
      <c r="E20" s="22" t="str">
        <f>IFERROR(ROUND(IF(B20&lt;2,"N/A",(IF(C20&lt;=25%,"N/A",AVERAGE(I3:I17)))),2),"N/A")</f>
        <v>N/A</v>
      </c>
      <c r="F20" s="22">
        <f>ROUND(MEDIAN(H3:H17),2)</f>
        <v>664.05</v>
      </c>
      <c r="G20" s="23" t="str">
        <f>INDEX(G3:G17,MATCH(H20,H3:H17,0))</f>
        <v>FRIO PEÇAS</v>
      </c>
      <c r="H20" s="24">
        <f>MIN(H3:H17)</f>
        <v>568.1</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722.5</v>
      </c>
    </row>
    <row r="23" spans="1:11">
      <c r="B23" s="32"/>
      <c r="C23" s="32"/>
      <c r="D23" s="57"/>
      <c r="E23" s="57"/>
      <c r="F23" s="36"/>
      <c r="G23" s="27" t="s">
        <v>9</v>
      </c>
      <c r="H23" s="28">
        <f>ROUND(H22,2)*D3</f>
        <v>21675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51</v>
      </c>
      <c r="B2" s="30" t="s">
        <v>24</v>
      </c>
      <c r="C2" s="30" t="s">
        <v>1</v>
      </c>
      <c r="D2" s="30" t="s">
        <v>2</v>
      </c>
      <c r="E2" s="14" t="s">
        <v>32</v>
      </c>
      <c r="F2" s="14" t="s">
        <v>33</v>
      </c>
      <c r="G2" s="30" t="s">
        <v>3</v>
      </c>
      <c r="H2" s="15" t="s">
        <v>4</v>
      </c>
      <c r="I2" s="16" t="s">
        <v>10</v>
      </c>
    </row>
    <row r="3" spans="1:9" ht="12.75" customHeight="1">
      <c r="A3" s="61"/>
      <c r="B3" s="62" t="s">
        <v>98</v>
      </c>
      <c r="C3" s="65" t="s">
        <v>8</v>
      </c>
      <c r="D3" s="68">
        <f>60*0.25</f>
        <v>15</v>
      </c>
      <c r="E3" s="71">
        <f>IF(C20&lt;=25%,D20,MIN(E20:F20))</f>
        <v>1335.5</v>
      </c>
      <c r="F3" s="71">
        <f>MIN(H3:H17)</f>
        <v>1139.05</v>
      </c>
      <c r="G3" s="4" t="s">
        <v>118</v>
      </c>
      <c r="H3" s="13">
        <v>1593.58</v>
      </c>
      <c r="I3" s="29" t="str">
        <f>IF(H3="","",(IF($C$20&lt;25%,"N/A",IF(H3&lt;=($D$20+$A$20),H3,"Descartado"))))</f>
        <v>N/A</v>
      </c>
    </row>
    <row r="4" spans="1:9">
      <c r="A4" s="61"/>
      <c r="B4" s="63"/>
      <c r="C4" s="66"/>
      <c r="D4" s="69"/>
      <c r="E4" s="72"/>
      <c r="F4" s="72"/>
      <c r="G4" s="4" t="s">
        <v>119</v>
      </c>
      <c r="H4" s="13">
        <v>1299</v>
      </c>
      <c r="I4" s="29" t="str">
        <f t="shared" ref="I4:I17" si="0">IF(H4="","",(IF($C$20&lt;25%,"N/A",IF(H4&lt;=($D$20+$A$20),H4,"Descartado"))))</f>
        <v>N/A</v>
      </c>
    </row>
    <row r="5" spans="1:9">
      <c r="A5" s="61"/>
      <c r="B5" s="63"/>
      <c r="C5" s="66"/>
      <c r="D5" s="69"/>
      <c r="E5" s="72"/>
      <c r="F5" s="72"/>
      <c r="G5" s="4" t="s">
        <v>120</v>
      </c>
      <c r="H5" s="13">
        <v>1489</v>
      </c>
      <c r="I5" s="29" t="str">
        <f t="shared" si="0"/>
        <v>N/A</v>
      </c>
    </row>
    <row r="6" spans="1:9">
      <c r="A6" s="61"/>
      <c r="B6" s="63"/>
      <c r="C6" s="66"/>
      <c r="D6" s="69"/>
      <c r="E6" s="72"/>
      <c r="F6" s="72"/>
      <c r="G6" s="4" t="s">
        <v>144</v>
      </c>
      <c r="H6" s="13">
        <v>1139.05</v>
      </c>
      <c r="I6" s="29" t="str">
        <f t="shared" si="0"/>
        <v>N/A</v>
      </c>
    </row>
    <row r="7" spans="1:9">
      <c r="A7" s="61"/>
      <c r="B7" s="63"/>
      <c r="C7" s="66"/>
      <c r="D7" s="69"/>
      <c r="E7" s="72"/>
      <c r="F7" s="72"/>
      <c r="G7" s="4" t="s">
        <v>125</v>
      </c>
      <c r="H7" s="13">
        <v>1234.9100000000001</v>
      </c>
      <c r="I7" s="29" t="str">
        <f t="shared" si="0"/>
        <v>N/A</v>
      </c>
    </row>
    <row r="8" spans="1:9">
      <c r="A8" s="61"/>
      <c r="B8" s="63"/>
      <c r="C8" s="66"/>
      <c r="D8" s="69"/>
      <c r="E8" s="72"/>
      <c r="F8" s="72"/>
      <c r="G8" s="4" t="s">
        <v>121</v>
      </c>
      <c r="H8" s="13">
        <v>1239.52</v>
      </c>
      <c r="I8" s="29" t="str">
        <f t="shared" si="0"/>
        <v>N/A</v>
      </c>
    </row>
    <row r="9" spans="1:9">
      <c r="A9" s="61"/>
      <c r="B9" s="63"/>
      <c r="C9" s="66"/>
      <c r="D9" s="69"/>
      <c r="E9" s="72"/>
      <c r="F9" s="72"/>
      <c r="G9" s="4" t="s">
        <v>146</v>
      </c>
      <c r="H9" s="13">
        <v>1199.9000000000001</v>
      </c>
      <c r="I9" s="29" t="str">
        <f t="shared" si="0"/>
        <v>N/A</v>
      </c>
    </row>
    <row r="10" spans="1:9">
      <c r="A10" s="61"/>
      <c r="B10" s="63"/>
      <c r="C10" s="66"/>
      <c r="D10" s="69"/>
      <c r="E10" s="72"/>
      <c r="F10" s="72"/>
      <c r="G10" s="4" t="s">
        <v>128</v>
      </c>
      <c r="H10" s="13">
        <v>1489</v>
      </c>
      <c r="I10" s="29" t="str">
        <f t="shared" si="0"/>
        <v>N/A</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165.34488077953947</v>
      </c>
      <c r="B20" s="19">
        <f>COUNT(H3:H17)</f>
        <v>8</v>
      </c>
      <c r="C20" s="20">
        <f>IF(B20&lt;2,"N/A",(A20/D20))</f>
        <v>0.12380747344031409</v>
      </c>
      <c r="D20" s="21">
        <f>ROUND(AVERAGE(H3:H17),2)</f>
        <v>1335.5</v>
      </c>
      <c r="E20" s="22" t="str">
        <f>IFERROR(ROUND(IF(B20&lt;2,"N/A",(IF(C20&lt;=25%,"N/A",AVERAGE(I3:I17)))),2),"N/A")</f>
        <v>N/A</v>
      </c>
      <c r="F20" s="22">
        <f>ROUND(MEDIAN(H3:H17),2)</f>
        <v>1269.26</v>
      </c>
      <c r="G20" s="23" t="str">
        <f>INDEX(G3:G17,MATCH(H20,H3:H17,0))</f>
        <v>FERREIRA COSTA</v>
      </c>
      <c r="H20" s="24">
        <f>MIN(H3:H17)</f>
        <v>1139.05</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1335.5</v>
      </c>
    </row>
    <row r="23" spans="1:11">
      <c r="B23" s="32"/>
      <c r="C23" s="32"/>
      <c r="D23" s="57"/>
      <c r="E23" s="57"/>
      <c r="F23" s="36"/>
      <c r="G23" s="27" t="s">
        <v>9</v>
      </c>
      <c r="H23" s="28">
        <f>ROUND(H22,2)*D3</f>
        <v>20032.5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4" sqref="H4"/>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52</v>
      </c>
      <c r="B2" s="30" t="s">
        <v>24</v>
      </c>
      <c r="C2" s="30" t="s">
        <v>1</v>
      </c>
      <c r="D2" s="30" t="s">
        <v>2</v>
      </c>
      <c r="E2" s="14" t="s">
        <v>32</v>
      </c>
      <c r="F2" s="14" t="s">
        <v>33</v>
      </c>
      <c r="G2" s="30" t="s">
        <v>3</v>
      </c>
      <c r="H2" s="15" t="s">
        <v>4</v>
      </c>
      <c r="I2" s="16" t="s">
        <v>10</v>
      </c>
    </row>
    <row r="3" spans="1:9" ht="12.75" customHeight="1">
      <c r="A3" s="61"/>
      <c r="B3" s="62" t="s">
        <v>99</v>
      </c>
      <c r="C3" s="65" t="s">
        <v>8</v>
      </c>
      <c r="D3" s="68">
        <v>40</v>
      </c>
      <c r="E3" s="71">
        <f>IF(C20&lt;=25%,D20,MIN(E20:F20))</f>
        <v>1227.92</v>
      </c>
      <c r="F3" s="71">
        <f>MIN(H3:H17)</f>
        <v>878.24</v>
      </c>
      <c r="G3" s="4" t="s">
        <v>119</v>
      </c>
      <c r="H3" s="13">
        <v>1299</v>
      </c>
      <c r="I3" s="29" t="str">
        <f>IF(H3="","",(IF($C$20&lt;25%,"N/A",IF(H3&lt;=($D$20+$A$20),H3,"Descartado"))))</f>
        <v>N/A</v>
      </c>
    </row>
    <row r="4" spans="1:9">
      <c r="A4" s="61"/>
      <c r="B4" s="63"/>
      <c r="C4" s="66"/>
      <c r="D4" s="69"/>
      <c r="E4" s="72"/>
      <c r="F4" s="72"/>
      <c r="G4" s="4" t="s">
        <v>120</v>
      </c>
      <c r="H4" s="13">
        <v>1489</v>
      </c>
      <c r="I4" s="29" t="str">
        <f t="shared" ref="I4:I17" si="0">IF(H4="","",(IF($C$20&lt;25%,"N/A",IF(H4&lt;=($D$20+$A$20),H4,"Descartado"))))</f>
        <v>N/A</v>
      </c>
    </row>
    <row r="5" spans="1:9">
      <c r="A5" s="61"/>
      <c r="B5" s="63"/>
      <c r="C5" s="66"/>
      <c r="D5" s="69"/>
      <c r="E5" s="72"/>
      <c r="F5" s="72"/>
      <c r="G5" s="4" t="s">
        <v>121</v>
      </c>
      <c r="H5" s="13">
        <v>1078.2</v>
      </c>
      <c r="I5" s="29" t="str">
        <f t="shared" si="0"/>
        <v>N/A</v>
      </c>
    </row>
    <row r="6" spans="1:9">
      <c r="A6" s="61"/>
      <c r="B6" s="63"/>
      <c r="C6" s="66"/>
      <c r="D6" s="69"/>
      <c r="E6" s="72"/>
      <c r="F6" s="72"/>
      <c r="G6" s="4" t="s">
        <v>125</v>
      </c>
      <c r="H6" s="13">
        <v>1124.0999999999999</v>
      </c>
      <c r="I6" s="29" t="str">
        <f t="shared" si="0"/>
        <v>N/A</v>
      </c>
    </row>
    <row r="7" spans="1:9">
      <c r="A7" s="61"/>
      <c r="B7" s="63"/>
      <c r="C7" s="66"/>
      <c r="D7" s="69"/>
      <c r="E7" s="72"/>
      <c r="F7" s="72"/>
      <c r="G7" s="4" t="s">
        <v>148</v>
      </c>
      <c r="H7" s="13">
        <v>878.24</v>
      </c>
      <c r="I7" s="29" t="str">
        <f t="shared" si="0"/>
        <v>N/A</v>
      </c>
    </row>
    <row r="8" spans="1:9">
      <c r="A8" s="61"/>
      <c r="B8" s="63"/>
      <c r="C8" s="66"/>
      <c r="D8" s="69"/>
      <c r="E8" s="72"/>
      <c r="F8" s="72"/>
      <c r="G8" s="4" t="s">
        <v>149</v>
      </c>
      <c r="H8" s="13">
        <v>1499</v>
      </c>
      <c r="I8" s="29" t="str">
        <f t="shared" si="0"/>
        <v>N/A</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245.8333876158147</v>
      </c>
      <c r="B20" s="19">
        <f>COUNT(H3:H17)</f>
        <v>6</v>
      </c>
      <c r="C20" s="20">
        <f>IF(B20&lt;2,"N/A",(A20/D20))</f>
        <v>0.20020309760881383</v>
      </c>
      <c r="D20" s="21">
        <f>ROUND(AVERAGE(H3:H17),2)</f>
        <v>1227.92</v>
      </c>
      <c r="E20" s="22" t="str">
        <f>IFERROR(ROUND(IF(B20&lt;2,"N/A",(IF(C20&lt;=25%,"N/A",AVERAGE(I3:I17)))),2),"N/A")</f>
        <v>N/A</v>
      </c>
      <c r="F20" s="22">
        <f>ROUND(MEDIAN(H3:H17),2)</f>
        <v>1211.55</v>
      </c>
      <c r="G20" s="23" t="str">
        <f>INDEX(G3:G17,MATCH(H20,H3:H17,0))</f>
        <v>SHOPTIME</v>
      </c>
      <c r="H20" s="24">
        <f>MIN(H3:H17)</f>
        <v>878.24</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1227.92</v>
      </c>
    </row>
    <row r="23" spans="1:11">
      <c r="B23" s="32"/>
      <c r="C23" s="32"/>
      <c r="D23" s="57"/>
      <c r="E23" s="57"/>
      <c r="F23" s="36"/>
      <c r="G23" s="27" t="s">
        <v>9</v>
      </c>
      <c r="H23" s="28">
        <f>ROUND(H22,2)*D3</f>
        <v>49116.800000000003</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0" sqref="G10"/>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53</v>
      </c>
      <c r="B2" s="30" t="s">
        <v>24</v>
      </c>
      <c r="C2" s="30" t="s">
        <v>1</v>
      </c>
      <c r="D2" s="30" t="s">
        <v>2</v>
      </c>
      <c r="E2" s="14" t="s">
        <v>32</v>
      </c>
      <c r="F2" s="14" t="s">
        <v>33</v>
      </c>
      <c r="G2" s="30" t="s">
        <v>3</v>
      </c>
      <c r="H2" s="15" t="s">
        <v>4</v>
      </c>
      <c r="I2" s="16" t="s">
        <v>10</v>
      </c>
    </row>
    <row r="3" spans="1:9" ht="12.75" customHeight="1">
      <c r="A3" s="61"/>
      <c r="B3" s="62" t="s">
        <v>100</v>
      </c>
      <c r="C3" s="65" t="s">
        <v>8</v>
      </c>
      <c r="D3" s="68">
        <v>100</v>
      </c>
      <c r="E3" s="71">
        <f>IF(C20&lt;=25%,D20,MIN(E20:F20))</f>
        <v>614.79999999999995</v>
      </c>
      <c r="F3" s="71">
        <f>MIN(H3:H17)</f>
        <v>425.7</v>
      </c>
      <c r="G3" s="4" t="s">
        <v>150</v>
      </c>
      <c r="H3" s="13">
        <v>584.1</v>
      </c>
      <c r="I3" s="29">
        <f>IF(H3="","",(IF($C$20&lt;25%,"N/A",IF(H3&lt;=($D$20+$A$20),H3,"Descartado"))))</f>
        <v>584.1</v>
      </c>
    </row>
    <row r="4" spans="1:9">
      <c r="A4" s="61"/>
      <c r="B4" s="63"/>
      <c r="C4" s="66"/>
      <c r="D4" s="69"/>
      <c r="E4" s="72"/>
      <c r="F4" s="72"/>
      <c r="G4" s="4" t="s">
        <v>151</v>
      </c>
      <c r="H4" s="13">
        <v>425.7</v>
      </c>
      <c r="I4" s="29">
        <f t="shared" ref="I4:I17" si="0">IF(H4="","",(IF($C$20&lt;25%,"N/A",IF(H4&lt;=($D$20+$A$20),H4,"Descartado"))))</f>
        <v>425.7</v>
      </c>
    </row>
    <row r="5" spans="1:9">
      <c r="A5" s="61"/>
      <c r="B5" s="63"/>
      <c r="C5" s="66"/>
      <c r="D5" s="69"/>
      <c r="E5" s="72"/>
      <c r="F5" s="72"/>
      <c r="G5" s="4" t="s">
        <v>155</v>
      </c>
      <c r="H5" s="13">
        <v>719</v>
      </c>
      <c r="I5" s="29">
        <f t="shared" si="0"/>
        <v>719</v>
      </c>
    </row>
    <row r="6" spans="1:9">
      <c r="A6" s="61"/>
      <c r="B6" s="63"/>
      <c r="C6" s="66"/>
      <c r="D6" s="69"/>
      <c r="E6" s="72"/>
      <c r="F6" s="72"/>
      <c r="G6" s="4" t="s">
        <v>152</v>
      </c>
      <c r="H6" s="13">
        <v>650.07299999999998</v>
      </c>
      <c r="I6" s="29">
        <f t="shared" si="0"/>
        <v>650.07299999999998</v>
      </c>
    </row>
    <row r="7" spans="1:9">
      <c r="A7" s="61"/>
      <c r="B7" s="63"/>
      <c r="C7" s="66"/>
      <c r="D7" s="69"/>
      <c r="E7" s="72"/>
      <c r="F7" s="72"/>
      <c r="G7" s="4" t="s">
        <v>153</v>
      </c>
      <c r="H7" s="13">
        <v>475.9</v>
      </c>
      <c r="I7" s="29">
        <f t="shared" si="0"/>
        <v>475.9</v>
      </c>
    </row>
    <row r="8" spans="1:9">
      <c r="A8" s="61"/>
      <c r="B8" s="63"/>
      <c r="C8" s="66"/>
      <c r="D8" s="69"/>
      <c r="E8" s="72"/>
      <c r="F8" s="72"/>
      <c r="G8" s="4" t="s">
        <v>121</v>
      </c>
      <c r="H8" s="13">
        <v>1016.76</v>
      </c>
      <c r="I8" s="29" t="str">
        <f t="shared" si="0"/>
        <v>Descartado</v>
      </c>
    </row>
    <row r="9" spans="1:9">
      <c r="A9" s="61"/>
      <c r="B9" s="63"/>
      <c r="C9" s="66"/>
      <c r="D9" s="69"/>
      <c r="E9" s="72"/>
      <c r="F9" s="72"/>
      <c r="G9" s="4" t="s">
        <v>156</v>
      </c>
      <c r="H9" s="13">
        <v>834</v>
      </c>
      <c r="I9" s="29">
        <f t="shared" si="0"/>
        <v>834</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206.00899058131733</v>
      </c>
      <c r="B20" s="19">
        <f>COUNT(H3:H17)</f>
        <v>7</v>
      </c>
      <c r="C20" s="20">
        <f>IF(B20&lt;2,"N/A",(A20/D20))</f>
        <v>0.30646066850334314</v>
      </c>
      <c r="D20" s="21">
        <f>ROUND(AVERAGE(H3:H17),2)</f>
        <v>672.22</v>
      </c>
      <c r="E20" s="22">
        <f>IFERROR(ROUND(IF(B20&lt;2,"N/A",(IF(C20&lt;=25%,"N/A",AVERAGE(I3:I17)))),2),"N/A")</f>
        <v>614.79999999999995</v>
      </c>
      <c r="F20" s="22">
        <f>ROUND(MEDIAN(H3:H17),2)</f>
        <v>650.07000000000005</v>
      </c>
      <c r="G20" s="23" t="str">
        <f>INDEX(G3:G17,MATCH(H20,H3:H17,0))</f>
        <v>ESTRELA 10</v>
      </c>
      <c r="H20" s="24">
        <f>MIN(H3:H17)</f>
        <v>425.7</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614.79999999999995</v>
      </c>
    </row>
    <row r="23" spans="1:11">
      <c r="B23" s="32"/>
      <c r="C23" s="32"/>
      <c r="D23" s="57"/>
      <c r="E23" s="57"/>
      <c r="F23" s="36"/>
      <c r="G23" s="27" t="s">
        <v>9</v>
      </c>
      <c r="H23" s="28">
        <f>ROUND(H22,2)*D3</f>
        <v>61479.999999999993</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10" sqref="G10"/>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54</v>
      </c>
      <c r="B2" s="30" t="s">
        <v>24</v>
      </c>
      <c r="C2" s="30" t="s">
        <v>1</v>
      </c>
      <c r="D2" s="30" t="s">
        <v>2</v>
      </c>
      <c r="E2" s="14" t="s">
        <v>32</v>
      </c>
      <c r="F2" s="14" t="s">
        <v>33</v>
      </c>
      <c r="G2" s="30" t="s">
        <v>3</v>
      </c>
      <c r="H2" s="15" t="s">
        <v>4</v>
      </c>
      <c r="I2" s="16" t="s">
        <v>10</v>
      </c>
    </row>
    <row r="3" spans="1:9" ht="12.75" customHeight="1">
      <c r="A3" s="61"/>
      <c r="B3" s="62" t="s">
        <v>101</v>
      </c>
      <c r="C3" s="65" t="s">
        <v>8</v>
      </c>
      <c r="D3" s="68">
        <v>50</v>
      </c>
      <c r="E3" s="71">
        <f>IF(C20&lt;=25%,D20,MIN(E20:F20))</f>
        <v>594.46</v>
      </c>
      <c r="F3" s="71">
        <f>MIN(H3:H17)</f>
        <v>475.9</v>
      </c>
      <c r="G3" s="4" t="s">
        <v>150</v>
      </c>
      <c r="H3" s="13">
        <v>584.1</v>
      </c>
      <c r="I3" s="29">
        <f>IF(H3="","",(IF($C$20&lt;25%,"N/A",IF(H3&lt;=($D$20+$A$20),H3,"Descartado"))))</f>
        <v>584.1</v>
      </c>
    </row>
    <row r="4" spans="1:9">
      <c r="A4" s="61"/>
      <c r="B4" s="63"/>
      <c r="C4" s="66"/>
      <c r="D4" s="69"/>
      <c r="E4" s="72"/>
      <c r="F4" s="72"/>
      <c r="G4" s="4" t="s">
        <v>151</v>
      </c>
      <c r="H4" s="13">
        <v>483.84</v>
      </c>
      <c r="I4" s="29">
        <f t="shared" ref="I4:I17" si="0">IF(H4="","",(IF($C$20&lt;25%,"N/A",IF(H4&lt;=($D$20+$A$20),H4,"Descartado"))))</f>
        <v>483.84</v>
      </c>
    </row>
    <row r="5" spans="1:9">
      <c r="A5" s="61"/>
      <c r="B5" s="63"/>
      <c r="C5" s="66"/>
      <c r="D5" s="69"/>
      <c r="E5" s="72"/>
      <c r="F5" s="72"/>
      <c r="G5" s="4" t="s">
        <v>144</v>
      </c>
      <c r="H5" s="13">
        <v>639</v>
      </c>
      <c r="I5" s="29">
        <f t="shared" si="0"/>
        <v>639</v>
      </c>
    </row>
    <row r="6" spans="1:9">
      <c r="A6" s="61"/>
      <c r="B6" s="63"/>
      <c r="C6" s="66"/>
      <c r="D6" s="69"/>
      <c r="E6" s="72"/>
      <c r="F6" s="72"/>
      <c r="G6" s="4" t="s">
        <v>123</v>
      </c>
      <c r="H6" s="13">
        <v>664.9</v>
      </c>
      <c r="I6" s="29">
        <f t="shared" si="0"/>
        <v>664.9</v>
      </c>
    </row>
    <row r="7" spans="1:9">
      <c r="A7" s="61"/>
      <c r="B7" s="63"/>
      <c r="C7" s="66"/>
      <c r="D7" s="69"/>
      <c r="E7" s="72"/>
      <c r="F7" s="72"/>
      <c r="G7" s="4" t="s">
        <v>155</v>
      </c>
      <c r="H7" s="13">
        <v>719</v>
      </c>
      <c r="I7" s="29">
        <f t="shared" si="0"/>
        <v>719</v>
      </c>
    </row>
    <row r="8" spans="1:9">
      <c r="A8" s="61"/>
      <c r="B8" s="63"/>
      <c r="C8" s="66"/>
      <c r="D8" s="69"/>
      <c r="E8" s="72"/>
      <c r="F8" s="72"/>
      <c r="G8" s="4" t="s">
        <v>153</v>
      </c>
      <c r="H8" s="13">
        <v>475.9</v>
      </c>
      <c r="I8" s="29">
        <f t="shared" si="0"/>
        <v>475.9</v>
      </c>
    </row>
    <row r="9" spans="1:9">
      <c r="A9" s="61"/>
      <c r="B9" s="63"/>
      <c r="C9" s="66"/>
      <c r="D9" s="69"/>
      <c r="E9" s="72"/>
      <c r="F9" s="72"/>
      <c r="G9" s="4" t="s">
        <v>121</v>
      </c>
      <c r="H9" s="13">
        <v>1016.76</v>
      </c>
      <c r="I9" s="29" t="str">
        <f t="shared" si="0"/>
        <v>Descartado</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183.35727954434967</v>
      </c>
      <c r="B20" s="19">
        <f>COUNT(H3:H17)</f>
        <v>7</v>
      </c>
      <c r="C20" s="20">
        <f>IF(B20&lt;2,"N/A",(A20/D20))</f>
        <v>0.28002455679584243</v>
      </c>
      <c r="D20" s="21">
        <f>ROUND(AVERAGE(H3:H17),2)</f>
        <v>654.79</v>
      </c>
      <c r="E20" s="22">
        <f>IFERROR(ROUND(IF(B20&lt;2,"N/A",(IF(C20&lt;=25%,"N/A",AVERAGE(I3:I17)))),2),"N/A")</f>
        <v>594.46</v>
      </c>
      <c r="F20" s="22">
        <f>ROUND(MEDIAN(H3:H17),2)</f>
        <v>639</v>
      </c>
      <c r="G20" s="23" t="str">
        <f>INDEX(G3:G17,MATCH(H20,H3:H17,0))</f>
        <v>SUBMARINO</v>
      </c>
      <c r="H20" s="24">
        <f>MIN(H3:H17)</f>
        <v>475.9</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594.46</v>
      </c>
    </row>
    <row r="23" spans="1:11">
      <c r="B23" s="32"/>
      <c r="C23" s="32"/>
      <c r="D23" s="57"/>
      <c r="E23" s="57"/>
      <c r="F23" s="36"/>
      <c r="G23" s="27" t="s">
        <v>9</v>
      </c>
      <c r="H23" s="28">
        <f>ROUND(H22,2)*D3</f>
        <v>29723</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55</v>
      </c>
      <c r="B2" s="30" t="s">
        <v>24</v>
      </c>
      <c r="C2" s="30" t="s">
        <v>1</v>
      </c>
      <c r="D2" s="30" t="s">
        <v>2</v>
      </c>
      <c r="E2" s="14" t="s">
        <v>32</v>
      </c>
      <c r="F2" s="14" t="s">
        <v>33</v>
      </c>
      <c r="G2" s="30" t="s">
        <v>3</v>
      </c>
      <c r="H2" s="15" t="s">
        <v>4</v>
      </c>
      <c r="I2" s="16" t="s">
        <v>10</v>
      </c>
    </row>
    <row r="3" spans="1:9" ht="12.75" customHeight="1">
      <c r="A3" s="61"/>
      <c r="B3" s="62" t="s">
        <v>102</v>
      </c>
      <c r="C3" s="65" t="s">
        <v>8</v>
      </c>
      <c r="D3" s="68">
        <v>40</v>
      </c>
      <c r="E3" s="71">
        <f>IF(C20&lt;=25%,D20,MIN(E20:F20))</f>
        <v>855.4</v>
      </c>
      <c r="F3" s="71">
        <f>MIN(H3:H17)</f>
        <v>764.9</v>
      </c>
      <c r="G3" s="4" t="s">
        <v>118</v>
      </c>
      <c r="H3" s="13">
        <v>778.1</v>
      </c>
      <c r="I3" s="29" t="str">
        <f>IF(H3="","",(IF($C$20&lt;25%,"N/A",IF(H3&lt;=($D$20+$A$20),H3,"Descartado"))))</f>
        <v>N/A</v>
      </c>
    </row>
    <row r="4" spans="1:9">
      <c r="A4" s="61"/>
      <c r="B4" s="63"/>
      <c r="C4" s="66"/>
      <c r="D4" s="69"/>
      <c r="E4" s="72"/>
      <c r="F4" s="72"/>
      <c r="G4" s="4" t="s">
        <v>183</v>
      </c>
      <c r="H4" s="13">
        <v>999</v>
      </c>
      <c r="I4" s="29" t="str">
        <f t="shared" ref="I4:I17" si="0">IF(H4="","",(IF($C$20&lt;25%,"N/A",IF(H4&lt;=($D$20+$A$20),H4,"Descartado"))))</f>
        <v>N/A</v>
      </c>
    </row>
    <row r="5" spans="1:9">
      <c r="A5" s="61"/>
      <c r="B5" s="63"/>
      <c r="C5" s="66"/>
      <c r="D5" s="69"/>
      <c r="E5" s="72"/>
      <c r="F5" s="72"/>
      <c r="G5" s="4" t="s">
        <v>184</v>
      </c>
      <c r="H5" s="13">
        <v>799</v>
      </c>
      <c r="I5" s="29" t="str">
        <f t="shared" si="0"/>
        <v>N/A</v>
      </c>
    </row>
    <row r="6" spans="1:9">
      <c r="A6" s="61"/>
      <c r="B6" s="63"/>
      <c r="C6" s="66"/>
      <c r="D6" s="69"/>
      <c r="E6" s="72"/>
      <c r="F6" s="72"/>
      <c r="G6" s="4" t="s">
        <v>155</v>
      </c>
      <c r="H6" s="13">
        <v>936</v>
      </c>
      <c r="I6" s="29" t="str">
        <f t="shared" si="0"/>
        <v>N/A</v>
      </c>
    </row>
    <row r="7" spans="1:9">
      <c r="A7" s="61"/>
      <c r="B7" s="63"/>
      <c r="C7" s="66"/>
      <c r="D7" s="69"/>
      <c r="E7" s="72"/>
      <c r="F7" s="72"/>
      <c r="G7" s="4" t="s">
        <v>185</v>
      </c>
      <c r="H7" s="13">
        <v>764.9</v>
      </c>
      <c r="I7" s="29" t="str">
        <f t="shared" si="0"/>
        <v>N/A</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105.43222941776426</v>
      </c>
      <c r="B20" s="19">
        <f>COUNT(H3:H17)</f>
        <v>5</v>
      </c>
      <c r="C20" s="20">
        <f>IF(B20&lt;2,"N/A",(A20/D20))</f>
        <v>0.12325488592209992</v>
      </c>
      <c r="D20" s="21">
        <f>ROUND(AVERAGE(H3:H17),2)</f>
        <v>855.4</v>
      </c>
      <c r="E20" s="22" t="str">
        <f>IFERROR(ROUND(IF(B20&lt;2,"N/A",(IF(C20&lt;=25%,"N/A",AVERAGE(I3:I17)))),2),"N/A")</f>
        <v>N/A</v>
      </c>
      <c r="F20" s="22">
        <f>ROUND(MEDIAN(H3:H17),2)</f>
        <v>799</v>
      </c>
      <c r="G20" s="23" t="str">
        <f>INDEX(G3:G17,MATCH(H20,H3:H17,0))</f>
        <v>MULTI MEGA</v>
      </c>
      <c r="H20" s="24">
        <f>MIN(H3:H17)</f>
        <v>764.9</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855.4</v>
      </c>
    </row>
    <row r="23" spans="1:11">
      <c r="B23" s="32"/>
      <c r="C23" s="32"/>
      <c r="D23" s="57"/>
      <c r="E23" s="57"/>
      <c r="F23" s="36"/>
      <c r="G23" s="27" t="s">
        <v>9</v>
      </c>
      <c r="H23" s="28">
        <f>ROUND(H22,2)*D3</f>
        <v>34216</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7" sqref="G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56</v>
      </c>
      <c r="B2" s="30" t="s">
        <v>24</v>
      </c>
      <c r="C2" s="30" t="s">
        <v>1</v>
      </c>
      <c r="D2" s="30" t="s">
        <v>2</v>
      </c>
      <c r="E2" s="14" t="s">
        <v>32</v>
      </c>
      <c r="F2" s="14" t="s">
        <v>33</v>
      </c>
      <c r="G2" s="30" t="s">
        <v>3</v>
      </c>
      <c r="H2" s="15" t="s">
        <v>4</v>
      </c>
      <c r="I2" s="16" t="s">
        <v>10</v>
      </c>
    </row>
    <row r="3" spans="1:9" ht="12.75" customHeight="1">
      <c r="A3" s="61"/>
      <c r="B3" s="62" t="s">
        <v>103</v>
      </c>
      <c r="C3" s="65" t="s">
        <v>8</v>
      </c>
      <c r="D3" s="68">
        <v>40</v>
      </c>
      <c r="E3" s="71">
        <f>IF(C20&lt;=25%,D20,MIN(E20:F20))</f>
        <v>913.48</v>
      </c>
      <c r="F3" s="71">
        <f>MIN(H3:H17)</f>
        <v>799</v>
      </c>
      <c r="G3" s="4" t="s">
        <v>118</v>
      </c>
      <c r="H3" s="13">
        <v>919.9</v>
      </c>
      <c r="I3" s="29" t="str">
        <f>IF(H3="","",(IF($C$20&lt;25%,"N/A",IF(H3&lt;=($D$20+$A$20),H3,"Descartado"))))</f>
        <v>N/A</v>
      </c>
    </row>
    <row r="4" spans="1:9">
      <c r="A4" s="61"/>
      <c r="B4" s="63"/>
      <c r="C4" s="66"/>
      <c r="D4" s="69"/>
      <c r="E4" s="72"/>
      <c r="F4" s="72"/>
      <c r="G4" s="4" t="s">
        <v>183</v>
      </c>
      <c r="H4" s="13">
        <v>999</v>
      </c>
      <c r="I4" s="29" t="str">
        <f t="shared" ref="I4:I17" si="0">IF(H4="","",(IF($C$20&lt;25%,"N/A",IF(H4&lt;=($D$20+$A$20),H4,"Descartado"))))</f>
        <v>N/A</v>
      </c>
    </row>
    <row r="5" spans="1:9">
      <c r="A5" s="61"/>
      <c r="B5" s="63"/>
      <c r="C5" s="66"/>
      <c r="D5" s="69"/>
      <c r="E5" s="72"/>
      <c r="F5" s="72"/>
      <c r="G5" s="4" t="s">
        <v>184</v>
      </c>
      <c r="H5" s="13">
        <v>799</v>
      </c>
      <c r="I5" s="29" t="str">
        <f t="shared" si="0"/>
        <v>N/A</v>
      </c>
    </row>
    <row r="6" spans="1:9">
      <c r="A6" s="61"/>
      <c r="B6" s="63"/>
      <c r="C6" s="66"/>
      <c r="D6" s="69"/>
      <c r="E6" s="72"/>
      <c r="F6" s="72"/>
      <c r="G6" s="4" t="s">
        <v>155</v>
      </c>
      <c r="H6" s="13">
        <v>936</v>
      </c>
      <c r="I6" s="29" t="str">
        <f t="shared" si="0"/>
        <v>N/A</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83.601649704616079</v>
      </c>
      <c r="B20" s="19">
        <f>COUNT(H3:H17)</f>
        <v>4</v>
      </c>
      <c r="C20" s="20">
        <f>IF(B20&lt;2,"N/A",(A20/D20))</f>
        <v>9.1519956325936069E-2</v>
      </c>
      <c r="D20" s="21">
        <f>ROUND(AVERAGE(H3:H17),2)</f>
        <v>913.48</v>
      </c>
      <c r="E20" s="22" t="str">
        <f>IFERROR(ROUND(IF(B20&lt;2,"N/A",(IF(C20&lt;=25%,"N/A",AVERAGE(I3:I17)))),2),"N/A")</f>
        <v>N/A</v>
      </c>
      <c r="F20" s="22">
        <f>ROUND(MEDIAN(H3:H17),2)</f>
        <v>927.95</v>
      </c>
      <c r="G20" s="23" t="str">
        <f>INDEX(G3:G17,MATCH(H20,H3:H17,0))</f>
        <v>DUTRA MAQUINAS</v>
      </c>
      <c r="H20" s="24">
        <f>MIN(H3:H17)</f>
        <v>799</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913.48</v>
      </c>
    </row>
    <row r="23" spans="1:11">
      <c r="B23" s="32"/>
      <c r="C23" s="32"/>
      <c r="D23" s="57"/>
      <c r="E23" s="57"/>
      <c r="F23" s="36"/>
      <c r="G23" s="27" t="s">
        <v>9</v>
      </c>
      <c r="H23" s="28">
        <f>ROUND(H22,2)*D3</f>
        <v>36539.199999999997</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57</v>
      </c>
      <c r="B2" s="30" t="s">
        <v>24</v>
      </c>
      <c r="C2" s="30" t="s">
        <v>1</v>
      </c>
      <c r="D2" s="30" t="s">
        <v>2</v>
      </c>
      <c r="E2" s="14" t="s">
        <v>32</v>
      </c>
      <c r="F2" s="14" t="s">
        <v>33</v>
      </c>
      <c r="G2" s="30" t="s">
        <v>3</v>
      </c>
      <c r="H2" s="15" t="s">
        <v>4</v>
      </c>
      <c r="I2" s="16" t="s">
        <v>10</v>
      </c>
    </row>
    <row r="3" spans="1:9" ht="12.75" customHeight="1">
      <c r="A3" s="61"/>
      <c r="B3" s="62" t="s">
        <v>104</v>
      </c>
      <c r="C3" s="65" t="s">
        <v>8</v>
      </c>
      <c r="D3" s="68">
        <f>200*0.25</f>
        <v>50</v>
      </c>
      <c r="E3" s="71">
        <f>IF(C20&lt;=25%,D20,MIN(E20:F20))</f>
        <v>626.12</v>
      </c>
      <c r="F3" s="71">
        <f>MIN(H3:H17)</f>
        <v>449.1</v>
      </c>
      <c r="G3" s="4" t="s">
        <v>184</v>
      </c>
      <c r="H3" s="13">
        <v>829.26</v>
      </c>
      <c r="I3" s="29">
        <f>IF(H3="","",(IF($C$20&lt;25%,"N/A",IF(H3&lt;=($D$20+$A$20),H3,"Descartado"))))</f>
        <v>829.26</v>
      </c>
    </row>
    <row r="4" spans="1:9">
      <c r="A4" s="61"/>
      <c r="B4" s="63"/>
      <c r="C4" s="66"/>
      <c r="D4" s="69"/>
      <c r="E4" s="72"/>
      <c r="F4" s="72"/>
      <c r="G4" s="4" t="s">
        <v>186</v>
      </c>
      <c r="H4" s="13">
        <v>449.1</v>
      </c>
      <c r="I4" s="29">
        <f t="shared" ref="I4:I17" si="0">IF(H4="","",(IF($C$20&lt;25%,"N/A",IF(H4&lt;=($D$20+$A$20),H4,"Descartado"))))</f>
        <v>449.1</v>
      </c>
    </row>
    <row r="5" spans="1:9">
      <c r="A5" s="61"/>
      <c r="B5" s="63"/>
      <c r="C5" s="66"/>
      <c r="D5" s="69"/>
      <c r="E5" s="72"/>
      <c r="F5" s="72"/>
      <c r="G5" s="4" t="s">
        <v>156</v>
      </c>
      <c r="H5" s="13">
        <v>600</v>
      </c>
      <c r="I5" s="29">
        <f t="shared" si="0"/>
        <v>600</v>
      </c>
    </row>
    <row r="6" spans="1:9">
      <c r="A6" s="61"/>
      <c r="B6" s="63"/>
      <c r="C6" s="66"/>
      <c r="D6" s="69"/>
      <c r="E6" s="72"/>
      <c r="F6" s="72"/>
      <c r="G6" s="4" t="s">
        <v>187</v>
      </c>
      <c r="H6" s="13">
        <v>923.4</v>
      </c>
      <c r="I6" s="29" t="str">
        <f t="shared" si="0"/>
        <v>Descartado</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215.68939334144341</v>
      </c>
      <c r="B20" s="19">
        <f>COUNT(H3:H17)</f>
        <v>4</v>
      </c>
      <c r="C20" s="20">
        <f>IF(B20&lt;2,"N/A",(A20/D20))</f>
        <v>0.30793414616732823</v>
      </c>
      <c r="D20" s="21">
        <f>ROUND(AVERAGE(H3:H17),2)</f>
        <v>700.44</v>
      </c>
      <c r="E20" s="22">
        <f>IFERROR(ROUND(IF(B20&lt;2,"N/A",(IF(C20&lt;=25%,"N/A",AVERAGE(I3:I17)))),2),"N/A")</f>
        <v>626.12</v>
      </c>
      <c r="F20" s="22">
        <f>ROUND(MEDIAN(H3:H17),2)</f>
        <v>714.63</v>
      </c>
      <c r="G20" s="23" t="str">
        <f>INDEX(G3:G17,MATCH(H20,H3:H17,0))</f>
        <v>ELETRO LUSTRES</v>
      </c>
      <c r="H20" s="24">
        <f>MIN(H3:H17)</f>
        <v>449.1</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626.12</v>
      </c>
    </row>
    <row r="23" spans="1:11">
      <c r="B23" s="32"/>
      <c r="C23" s="32"/>
      <c r="D23" s="57"/>
      <c r="E23" s="57"/>
      <c r="F23" s="36"/>
      <c r="G23" s="27" t="s">
        <v>9</v>
      </c>
      <c r="H23" s="28">
        <f>ROUND(H22,2)*D3</f>
        <v>31306</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9" sqref="H9"/>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58</v>
      </c>
      <c r="B2" s="30" t="s">
        <v>24</v>
      </c>
      <c r="C2" s="30" t="s">
        <v>1</v>
      </c>
      <c r="D2" s="30" t="s">
        <v>2</v>
      </c>
      <c r="E2" s="14" t="s">
        <v>32</v>
      </c>
      <c r="F2" s="14" t="s">
        <v>33</v>
      </c>
      <c r="G2" s="30" t="s">
        <v>3</v>
      </c>
      <c r="H2" s="15" t="s">
        <v>4</v>
      </c>
      <c r="I2" s="16" t="s">
        <v>10</v>
      </c>
    </row>
    <row r="3" spans="1:9" ht="12.75" customHeight="1">
      <c r="A3" s="61"/>
      <c r="B3" s="62" t="s">
        <v>105</v>
      </c>
      <c r="C3" s="65" t="s">
        <v>8</v>
      </c>
      <c r="D3" s="68">
        <v>20</v>
      </c>
      <c r="E3" s="71">
        <f>IF(C20&lt;=25%,D20,MIN(E20:F20))</f>
        <v>2638.59</v>
      </c>
      <c r="F3" s="71">
        <f>MIN(H3:H17)</f>
        <v>2458.9899999999998</v>
      </c>
      <c r="G3" s="4" t="s">
        <v>118</v>
      </c>
      <c r="H3" s="13">
        <v>2458.9899999999998</v>
      </c>
      <c r="I3" s="29" t="str">
        <f>IF(H3="","",(IF($C$20&lt;25%,"N/A",IF(H3&lt;=($D$20+$A$20),H3,"Descartado"))))</f>
        <v>N/A</v>
      </c>
    </row>
    <row r="4" spans="1:9">
      <c r="A4" s="61"/>
      <c r="B4" s="63"/>
      <c r="C4" s="66"/>
      <c r="D4" s="69"/>
      <c r="E4" s="72"/>
      <c r="F4" s="72"/>
      <c r="G4" s="4" t="s">
        <v>119</v>
      </c>
      <c r="H4" s="13">
        <v>2799</v>
      </c>
      <c r="I4" s="29" t="str">
        <f t="shared" ref="I4:I17" si="0">IF(H4="","",(IF($C$20&lt;25%,"N/A",IF(H4&lt;=($D$20+$A$20),H4,"Descartado"))))</f>
        <v>N/A</v>
      </c>
    </row>
    <row r="5" spans="1:9">
      <c r="A5" s="61"/>
      <c r="B5" s="63"/>
      <c r="C5" s="66"/>
      <c r="D5" s="69"/>
      <c r="E5" s="72"/>
      <c r="F5" s="72"/>
      <c r="G5" s="4" t="s">
        <v>120</v>
      </c>
      <c r="H5" s="13">
        <v>2899</v>
      </c>
      <c r="I5" s="29" t="str">
        <f t="shared" si="0"/>
        <v>N/A</v>
      </c>
    </row>
    <row r="6" spans="1:9">
      <c r="A6" s="61"/>
      <c r="B6" s="63"/>
      <c r="C6" s="66"/>
      <c r="D6" s="69"/>
      <c r="E6" s="72"/>
      <c r="F6" s="72"/>
      <c r="G6" s="4" t="s">
        <v>157</v>
      </c>
      <c r="H6" s="13">
        <v>2649</v>
      </c>
      <c r="I6" s="29" t="str">
        <f t="shared" si="0"/>
        <v>N/A</v>
      </c>
    </row>
    <row r="7" spans="1:9">
      <c r="A7" s="61"/>
      <c r="B7" s="63"/>
      <c r="C7" s="66"/>
      <c r="D7" s="69"/>
      <c r="E7" s="72"/>
      <c r="F7" s="72"/>
      <c r="G7" s="4" t="s">
        <v>144</v>
      </c>
      <c r="H7" s="13">
        <v>2564.0500000000002</v>
      </c>
      <c r="I7" s="29" t="str">
        <f t="shared" si="0"/>
        <v>N/A</v>
      </c>
    </row>
    <row r="8" spans="1:9">
      <c r="A8" s="61"/>
      <c r="B8" s="63"/>
      <c r="C8" s="66"/>
      <c r="D8" s="69"/>
      <c r="E8" s="72"/>
      <c r="F8" s="72"/>
      <c r="G8" s="4" t="s">
        <v>121</v>
      </c>
      <c r="H8" s="13">
        <v>2461.5</v>
      </c>
      <c r="I8" s="29" t="str">
        <f t="shared" si="0"/>
        <v>N/A</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180.45849605934328</v>
      </c>
      <c r="B20" s="19">
        <f>COUNT(H3:H17)</f>
        <v>6</v>
      </c>
      <c r="C20" s="20">
        <f>IF(B20&lt;2,"N/A",(A20/D20))</f>
        <v>6.8392018486897646E-2</v>
      </c>
      <c r="D20" s="21">
        <f>ROUND(AVERAGE(H3:H17),2)</f>
        <v>2638.59</v>
      </c>
      <c r="E20" s="22" t="str">
        <f>IFERROR(ROUND(IF(B20&lt;2,"N/A",(IF(C20&lt;=25%,"N/A",AVERAGE(I3:I17)))),2),"N/A")</f>
        <v>N/A</v>
      </c>
      <c r="F20" s="22">
        <f>ROUND(MEDIAN(H3:H17),2)</f>
        <v>2606.5300000000002</v>
      </c>
      <c r="G20" s="23" t="str">
        <f>INDEX(G3:G17,MATCH(H20,H3:H17,0))</f>
        <v>AMERICANAS</v>
      </c>
      <c r="H20" s="24">
        <f>MIN(H3:H17)</f>
        <v>2458.9899999999998</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2638.59</v>
      </c>
    </row>
    <row r="23" spans="1:11">
      <c r="B23" s="32"/>
      <c r="C23" s="32"/>
      <c r="D23" s="57"/>
      <c r="E23" s="57"/>
      <c r="F23" s="36"/>
      <c r="G23" s="27" t="s">
        <v>9</v>
      </c>
      <c r="H23" s="28">
        <f>ROUND(H22,2)*D3</f>
        <v>52771.8</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10" sqref="H10"/>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59</v>
      </c>
      <c r="B2" s="30" t="s">
        <v>24</v>
      </c>
      <c r="C2" s="30" t="s">
        <v>1</v>
      </c>
      <c r="D2" s="30" t="s">
        <v>2</v>
      </c>
      <c r="E2" s="14" t="s">
        <v>32</v>
      </c>
      <c r="F2" s="14" t="s">
        <v>33</v>
      </c>
      <c r="G2" s="30" t="s">
        <v>3</v>
      </c>
      <c r="H2" s="15" t="s">
        <v>4</v>
      </c>
      <c r="I2" s="16" t="s">
        <v>10</v>
      </c>
    </row>
    <row r="3" spans="1:9" ht="12.75" customHeight="1">
      <c r="A3" s="61"/>
      <c r="B3" s="62" t="s">
        <v>106</v>
      </c>
      <c r="C3" s="65" t="s">
        <v>8</v>
      </c>
      <c r="D3" s="68">
        <v>10</v>
      </c>
      <c r="E3" s="71">
        <f>IF(C20&lt;=25%,D20,MIN(E20:F20))</f>
        <v>2813.67</v>
      </c>
      <c r="F3" s="71">
        <f>MIN(H3:H17)</f>
        <v>2649</v>
      </c>
      <c r="G3" s="4" t="s">
        <v>118</v>
      </c>
      <c r="H3" s="13">
        <v>2699.89</v>
      </c>
      <c r="I3" s="29" t="str">
        <f>IF(H3="","",(IF($C$20&lt;25%,"N/A",IF(H3&lt;=($D$20+$A$20),H3,"Descartado"))))</f>
        <v>N/A</v>
      </c>
    </row>
    <row r="4" spans="1:9">
      <c r="A4" s="61"/>
      <c r="B4" s="63"/>
      <c r="C4" s="66"/>
      <c r="D4" s="69"/>
      <c r="E4" s="72"/>
      <c r="F4" s="72"/>
      <c r="G4" s="4" t="s">
        <v>119</v>
      </c>
      <c r="H4" s="13">
        <v>2799</v>
      </c>
      <c r="I4" s="29" t="str">
        <f t="shared" ref="I4:I17" si="0">IF(H4="","",(IF($C$20&lt;25%,"N/A",IF(H4&lt;=($D$20+$A$20),H4,"Descartado"))))</f>
        <v>N/A</v>
      </c>
    </row>
    <row r="5" spans="1:9">
      <c r="A5" s="61"/>
      <c r="B5" s="63"/>
      <c r="C5" s="66"/>
      <c r="D5" s="69"/>
      <c r="E5" s="72"/>
      <c r="F5" s="72"/>
      <c r="G5" s="4" t="s">
        <v>120</v>
      </c>
      <c r="H5" s="13">
        <v>2899</v>
      </c>
      <c r="I5" s="29" t="str">
        <f t="shared" si="0"/>
        <v>N/A</v>
      </c>
    </row>
    <row r="6" spans="1:9">
      <c r="A6" s="61"/>
      <c r="B6" s="63"/>
      <c r="C6" s="66"/>
      <c r="D6" s="69"/>
      <c r="E6" s="72"/>
      <c r="F6" s="72"/>
      <c r="G6" s="4" t="s">
        <v>157</v>
      </c>
      <c r="H6" s="13">
        <v>2649</v>
      </c>
      <c r="I6" s="29" t="str">
        <f t="shared" si="0"/>
        <v>N/A</v>
      </c>
    </row>
    <row r="7" spans="1:9">
      <c r="A7" s="61"/>
      <c r="B7" s="63"/>
      <c r="C7" s="66"/>
      <c r="D7" s="69"/>
      <c r="E7" s="72"/>
      <c r="F7" s="72"/>
      <c r="G7" s="4" t="s">
        <v>137</v>
      </c>
      <c r="H7" s="13">
        <v>2899</v>
      </c>
      <c r="I7" s="29" t="str">
        <f t="shared" si="0"/>
        <v>N/A</v>
      </c>
    </row>
    <row r="8" spans="1:9">
      <c r="A8" s="61"/>
      <c r="B8" s="63"/>
      <c r="C8" s="66"/>
      <c r="D8" s="69"/>
      <c r="E8" s="72"/>
      <c r="F8" s="72"/>
      <c r="G8" s="4" t="s">
        <v>123</v>
      </c>
      <c r="H8" s="13">
        <v>2899.9</v>
      </c>
      <c r="I8" s="29" t="str">
        <f t="shared" si="0"/>
        <v>N/A</v>
      </c>
    </row>
    <row r="9" spans="1:9">
      <c r="A9" s="61"/>
      <c r="B9" s="63"/>
      <c r="C9" s="66"/>
      <c r="D9" s="69"/>
      <c r="E9" s="72"/>
      <c r="F9" s="72"/>
      <c r="G9" s="4" t="s">
        <v>143</v>
      </c>
      <c r="H9" s="13">
        <v>2849.9</v>
      </c>
      <c r="I9" s="29" t="str">
        <f t="shared" si="0"/>
        <v>N/A</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102.94654745708252</v>
      </c>
      <c r="B20" s="19">
        <f>COUNT(H3:H17)</f>
        <v>7</v>
      </c>
      <c r="C20" s="20">
        <f>IF(B20&lt;2,"N/A",(A20/D20))</f>
        <v>3.6587996267182191E-2</v>
      </c>
      <c r="D20" s="21">
        <f>ROUND(AVERAGE(H3:H17),2)</f>
        <v>2813.67</v>
      </c>
      <c r="E20" s="22" t="str">
        <f>IFERROR(ROUND(IF(B20&lt;2,"N/A",(IF(C20&lt;=25%,"N/A",AVERAGE(I3:I17)))),2),"N/A")</f>
        <v>N/A</v>
      </c>
      <c r="F20" s="22">
        <f>ROUND(MEDIAN(H3:H17),2)</f>
        <v>2849.9</v>
      </c>
      <c r="G20" s="23" t="str">
        <f>INDEX(G3:G17,MATCH(H20,H3:H17,0))</f>
        <v>CONSUL</v>
      </c>
      <c r="H20" s="24">
        <f>MIN(H3:H17)</f>
        <v>2649</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2813.67</v>
      </c>
    </row>
    <row r="23" spans="1:11">
      <c r="B23" s="32"/>
      <c r="C23" s="32"/>
      <c r="D23" s="57"/>
      <c r="E23" s="57"/>
      <c r="F23" s="36"/>
      <c r="G23" s="27" t="s">
        <v>9</v>
      </c>
      <c r="H23" s="28">
        <f>ROUND(H22,2)*D3</f>
        <v>28136.7</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4" sqref="H4"/>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42</v>
      </c>
      <c r="B2" s="30" t="s">
        <v>24</v>
      </c>
      <c r="C2" s="30" t="s">
        <v>1</v>
      </c>
      <c r="D2" s="30" t="s">
        <v>2</v>
      </c>
      <c r="E2" s="14" t="s">
        <v>32</v>
      </c>
      <c r="F2" s="14" t="s">
        <v>33</v>
      </c>
      <c r="G2" s="30" t="s">
        <v>3</v>
      </c>
      <c r="H2" s="15" t="s">
        <v>4</v>
      </c>
      <c r="I2" s="16" t="s">
        <v>10</v>
      </c>
    </row>
    <row r="3" spans="1:9" ht="12.75" customHeight="1">
      <c r="A3" s="61"/>
      <c r="B3" s="62" t="s">
        <v>91</v>
      </c>
      <c r="C3" s="65" t="s">
        <v>8</v>
      </c>
      <c r="D3" s="68">
        <v>5</v>
      </c>
      <c r="E3" s="71">
        <f>IF(C20&lt;=25%,D20,MIN(E20:F20))</f>
        <v>2748.53</v>
      </c>
      <c r="F3" s="71">
        <f>MIN(H3:H17)</f>
        <v>2499</v>
      </c>
      <c r="G3" s="4" t="s">
        <v>118</v>
      </c>
      <c r="H3" s="13">
        <v>2595.12</v>
      </c>
      <c r="I3" s="29" t="str">
        <f>IF(H3="","",(IF($C$20&lt;25%,"N/A",IF(H3&lt;=($D$20+$A$20),H3,"Descartado"))))</f>
        <v>N/A</v>
      </c>
    </row>
    <row r="4" spans="1:9">
      <c r="A4" s="61"/>
      <c r="B4" s="63"/>
      <c r="C4" s="66"/>
      <c r="D4" s="69"/>
      <c r="E4" s="72"/>
      <c r="F4" s="72"/>
      <c r="G4" s="4" t="s">
        <v>120</v>
      </c>
      <c r="H4" s="13">
        <v>2949</v>
      </c>
      <c r="I4" s="29" t="str">
        <f t="shared" ref="I4:I17" si="0">IF(H4="","",(IF($C$20&lt;25%,"N/A",IF(H4&lt;=($D$20+$A$20),H4,"Descartado"))))</f>
        <v>N/A</v>
      </c>
    </row>
    <row r="5" spans="1:9">
      <c r="A5" s="61"/>
      <c r="B5" s="63"/>
      <c r="C5" s="66"/>
      <c r="D5" s="69"/>
      <c r="E5" s="72"/>
      <c r="F5" s="72"/>
      <c r="G5" s="4" t="s">
        <v>123</v>
      </c>
      <c r="H5" s="13">
        <v>2899.9</v>
      </c>
      <c r="I5" s="29" t="str">
        <f t="shared" si="0"/>
        <v>N/A</v>
      </c>
    </row>
    <row r="6" spans="1:9">
      <c r="A6" s="61"/>
      <c r="B6" s="63"/>
      <c r="C6" s="66"/>
      <c r="D6" s="69"/>
      <c r="E6" s="72"/>
      <c r="F6" s="72"/>
      <c r="G6" s="4" t="s">
        <v>124</v>
      </c>
      <c r="H6" s="13">
        <v>2699.1</v>
      </c>
      <c r="I6" s="29" t="str">
        <f t="shared" si="0"/>
        <v>N/A</v>
      </c>
    </row>
    <row r="7" spans="1:9">
      <c r="A7" s="61"/>
      <c r="B7" s="63"/>
      <c r="C7" s="66"/>
      <c r="D7" s="69"/>
      <c r="E7" s="72"/>
      <c r="F7" s="72"/>
      <c r="G7" s="4" t="s">
        <v>125</v>
      </c>
      <c r="H7" s="13">
        <v>2499</v>
      </c>
      <c r="I7" s="29" t="str">
        <f t="shared" si="0"/>
        <v>N/A</v>
      </c>
    </row>
    <row r="8" spans="1:9">
      <c r="A8" s="61"/>
      <c r="B8" s="63"/>
      <c r="C8" s="66"/>
      <c r="D8" s="69"/>
      <c r="E8" s="72"/>
      <c r="F8" s="72"/>
      <c r="G8" s="4" t="s">
        <v>121</v>
      </c>
      <c r="H8" s="13">
        <v>2849.05</v>
      </c>
      <c r="I8" s="29" t="str">
        <f t="shared" si="0"/>
        <v>N/A</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179.69337332430123</v>
      </c>
      <c r="B20" s="19">
        <f>COUNT(H3:H17)</f>
        <v>6</v>
      </c>
      <c r="C20" s="20">
        <f>IF(B20&lt;2,"N/A",(A20/D20))</f>
        <v>6.5377992353840494E-2</v>
      </c>
      <c r="D20" s="21">
        <f>ROUND(AVERAGE(H3:H17),2)</f>
        <v>2748.53</v>
      </c>
      <c r="E20" s="22" t="str">
        <f>IFERROR(ROUND(IF(B20&lt;2,"N/A",(IF(C20&lt;=25%,"N/A",AVERAGE(I3:I17)))),2),"N/A")</f>
        <v>N/A</v>
      </c>
      <c r="F20" s="22">
        <f>ROUND(MEDIAN(H3:H17),2)</f>
        <v>2774.08</v>
      </c>
      <c r="G20" s="23" t="str">
        <f>INDEX(G3:G17,MATCH(H20,H3:H17,0))</f>
        <v>KABUM</v>
      </c>
      <c r="H20" s="24">
        <f>MIN(H3:H17)</f>
        <v>2499</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2748.53</v>
      </c>
    </row>
    <row r="23" spans="1:11">
      <c r="B23" s="32"/>
      <c r="C23" s="32"/>
      <c r="D23" s="57"/>
      <c r="E23" s="57"/>
      <c r="F23" s="36"/>
      <c r="G23" s="27" t="s">
        <v>9</v>
      </c>
      <c r="H23" s="28">
        <f>ROUND(H22,2)*D3</f>
        <v>13742.650000000001</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10" sqref="H10"/>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60</v>
      </c>
      <c r="B2" s="30" t="s">
        <v>24</v>
      </c>
      <c r="C2" s="30" t="s">
        <v>1</v>
      </c>
      <c r="D2" s="30" t="s">
        <v>2</v>
      </c>
      <c r="E2" s="14" t="s">
        <v>32</v>
      </c>
      <c r="F2" s="14" t="s">
        <v>33</v>
      </c>
      <c r="G2" s="30" t="s">
        <v>3</v>
      </c>
      <c r="H2" s="15" t="s">
        <v>4</v>
      </c>
      <c r="I2" s="16" t="s">
        <v>10</v>
      </c>
    </row>
    <row r="3" spans="1:9" ht="12.75" customHeight="1">
      <c r="A3" s="61"/>
      <c r="B3" s="62" t="s">
        <v>107</v>
      </c>
      <c r="C3" s="65" t="s">
        <v>8</v>
      </c>
      <c r="D3" s="68">
        <v>3</v>
      </c>
      <c r="E3" s="71">
        <f>IF(C20&lt;=25%,D20,MIN(E20:F20))</f>
        <v>3199.84</v>
      </c>
      <c r="F3" s="71">
        <f>MIN(H3:H17)</f>
        <v>2599</v>
      </c>
      <c r="G3" s="4" t="s">
        <v>118</v>
      </c>
      <c r="H3" s="13">
        <v>3079.91</v>
      </c>
      <c r="I3" s="29" t="str">
        <f>IF(H3="","",(IF($C$20&lt;25%,"N/A",IF(H3&lt;=($D$20+$A$20),H3,"Descartado"))))</f>
        <v>N/A</v>
      </c>
    </row>
    <row r="4" spans="1:9">
      <c r="A4" s="61"/>
      <c r="B4" s="63"/>
      <c r="C4" s="66"/>
      <c r="D4" s="69"/>
      <c r="E4" s="72"/>
      <c r="F4" s="72"/>
      <c r="G4" s="4" t="s">
        <v>119</v>
      </c>
      <c r="H4" s="13">
        <v>3299</v>
      </c>
      <c r="I4" s="29" t="str">
        <f t="shared" ref="I4:I17" si="0">IF(H4="","",(IF($C$20&lt;25%,"N/A",IF(H4&lt;=($D$20+$A$20),H4,"Descartado"))))</f>
        <v>N/A</v>
      </c>
    </row>
    <row r="5" spans="1:9">
      <c r="A5" s="61"/>
      <c r="B5" s="63"/>
      <c r="C5" s="66"/>
      <c r="D5" s="69"/>
      <c r="E5" s="72"/>
      <c r="F5" s="72"/>
      <c r="G5" s="4" t="s">
        <v>120</v>
      </c>
      <c r="H5" s="13">
        <v>3499</v>
      </c>
      <c r="I5" s="29" t="str">
        <f t="shared" si="0"/>
        <v>N/A</v>
      </c>
    </row>
    <row r="6" spans="1:9">
      <c r="A6" s="61"/>
      <c r="B6" s="63"/>
      <c r="C6" s="66"/>
      <c r="D6" s="69"/>
      <c r="E6" s="72"/>
      <c r="F6" s="72"/>
      <c r="G6" s="4" t="s">
        <v>147</v>
      </c>
      <c r="H6" s="13">
        <v>2599</v>
      </c>
      <c r="I6" s="29" t="str">
        <f t="shared" si="0"/>
        <v>N/A</v>
      </c>
    </row>
    <row r="7" spans="1:9">
      <c r="A7" s="61"/>
      <c r="B7" s="63"/>
      <c r="C7" s="66"/>
      <c r="D7" s="69"/>
      <c r="E7" s="72"/>
      <c r="F7" s="72"/>
      <c r="G7" s="4" t="s">
        <v>158</v>
      </c>
      <c r="H7" s="13">
        <v>3522.96</v>
      </c>
      <c r="I7" s="29" t="str">
        <f t="shared" si="0"/>
        <v>N/A</v>
      </c>
    </row>
    <row r="8" spans="1:9">
      <c r="A8" s="61"/>
      <c r="B8" s="63"/>
      <c r="C8" s="66"/>
      <c r="D8" s="69"/>
      <c r="E8" s="72"/>
      <c r="F8" s="72"/>
      <c r="G8" s="4" t="s">
        <v>121</v>
      </c>
      <c r="H8" s="13">
        <v>3299.99</v>
      </c>
      <c r="I8" s="29" t="str">
        <f t="shared" si="0"/>
        <v>N/A</v>
      </c>
    </row>
    <row r="9" spans="1:9">
      <c r="A9" s="61"/>
      <c r="B9" s="63"/>
      <c r="C9" s="66"/>
      <c r="D9" s="69"/>
      <c r="E9" s="72"/>
      <c r="F9" s="72"/>
      <c r="G9" s="4" t="s">
        <v>128</v>
      </c>
      <c r="H9" s="13">
        <v>3099</v>
      </c>
      <c r="I9" s="29" t="str">
        <f t="shared" si="0"/>
        <v>N/A</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316.05025553511189</v>
      </c>
      <c r="B20" s="19">
        <f>COUNT(H3:H17)</f>
        <v>7</v>
      </c>
      <c r="C20" s="20">
        <f>IF(B20&lt;2,"N/A",(A20/D20))</f>
        <v>9.8770643386891802E-2</v>
      </c>
      <c r="D20" s="21">
        <f>ROUND(AVERAGE(H3:H17),2)</f>
        <v>3199.84</v>
      </c>
      <c r="E20" s="22" t="str">
        <f>IFERROR(ROUND(IF(B20&lt;2,"N/A",(IF(C20&lt;=25%,"N/A",AVERAGE(I3:I17)))),2),"N/A")</f>
        <v>N/A</v>
      </c>
      <c r="F20" s="22">
        <f>ROUND(MEDIAN(H3:H17),2)</f>
        <v>3299</v>
      </c>
      <c r="G20" s="23" t="str">
        <f>INDEX(G3:G17,MATCH(H20,H3:H17,0))</f>
        <v>ELECTROLUX</v>
      </c>
      <c r="H20" s="24">
        <f>MIN(H3:H17)</f>
        <v>2599</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3199.84</v>
      </c>
    </row>
    <row r="23" spans="1:11">
      <c r="B23" s="32"/>
      <c r="C23" s="32"/>
      <c r="D23" s="57"/>
      <c r="E23" s="57"/>
      <c r="F23" s="36"/>
      <c r="G23" s="27" t="s">
        <v>9</v>
      </c>
      <c r="H23" s="28">
        <f>ROUND(H22,2)*D3</f>
        <v>9599.52</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9" sqref="H9"/>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61</v>
      </c>
      <c r="B2" s="30" t="s">
        <v>24</v>
      </c>
      <c r="C2" s="30" t="s">
        <v>1</v>
      </c>
      <c r="D2" s="30" t="s">
        <v>2</v>
      </c>
      <c r="E2" s="14" t="s">
        <v>32</v>
      </c>
      <c r="F2" s="14" t="s">
        <v>33</v>
      </c>
      <c r="G2" s="30" t="s">
        <v>3</v>
      </c>
      <c r="H2" s="15" t="s">
        <v>4</v>
      </c>
      <c r="I2" s="16" t="s">
        <v>10</v>
      </c>
    </row>
    <row r="3" spans="1:9" ht="12.75" customHeight="1">
      <c r="A3" s="61"/>
      <c r="B3" s="62" t="s">
        <v>108</v>
      </c>
      <c r="C3" s="65" t="s">
        <v>8</v>
      </c>
      <c r="D3" s="68">
        <v>3</v>
      </c>
      <c r="E3" s="71">
        <f>IF(C20&lt;=25%,D20,MIN(E20:F20))</f>
        <v>3259.4</v>
      </c>
      <c r="F3" s="71">
        <f>MIN(H3:H17)</f>
        <v>2999.99</v>
      </c>
      <c r="G3" s="4" t="s">
        <v>121</v>
      </c>
      <c r="H3" s="13">
        <v>3299.99</v>
      </c>
      <c r="I3" s="29" t="str">
        <f>IF(H3="","",(IF($C$20&lt;25%,"N/A",IF(H3&lt;=($D$20+$A$20),H3,"Descartado"))))</f>
        <v>N/A</v>
      </c>
    </row>
    <row r="4" spans="1:9">
      <c r="A4" s="61"/>
      <c r="B4" s="63"/>
      <c r="C4" s="66"/>
      <c r="D4" s="69"/>
      <c r="E4" s="72"/>
      <c r="F4" s="72"/>
      <c r="G4" s="4" t="s">
        <v>137</v>
      </c>
      <c r="H4" s="13">
        <v>3379</v>
      </c>
      <c r="I4" s="29" t="str">
        <f t="shared" ref="I4:I17" si="0">IF(H4="","",(IF($C$20&lt;25%,"N/A",IF(H4&lt;=($D$20+$A$20),H4,"Descartado"))))</f>
        <v>N/A</v>
      </c>
    </row>
    <row r="5" spans="1:9">
      <c r="A5" s="61"/>
      <c r="B5" s="63"/>
      <c r="C5" s="66"/>
      <c r="D5" s="69"/>
      <c r="E5" s="72"/>
      <c r="F5" s="72"/>
      <c r="G5" s="4" t="s">
        <v>158</v>
      </c>
      <c r="H5" s="13">
        <v>3522.96</v>
      </c>
      <c r="I5" s="29" t="str">
        <f t="shared" si="0"/>
        <v>N/A</v>
      </c>
    </row>
    <row r="6" spans="1:9">
      <c r="A6" s="61"/>
      <c r="B6" s="63"/>
      <c r="C6" s="66"/>
      <c r="D6" s="69"/>
      <c r="E6" s="72"/>
      <c r="F6" s="72"/>
      <c r="G6" s="4" t="s">
        <v>144</v>
      </c>
      <c r="H6" s="13">
        <v>3115.05</v>
      </c>
      <c r="I6" s="29" t="str">
        <f t="shared" si="0"/>
        <v>N/A</v>
      </c>
    </row>
    <row r="7" spans="1:9">
      <c r="A7" s="61"/>
      <c r="B7" s="63"/>
      <c r="C7" s="66"/>
      <c r="D7" s="69"/>
      <c r="E7" s="72"/>
      <c r="F7" s="72"/>
      <c r="G7" s="4" t="s">
        <v>159</v>
      </c>
      <c r="H7" s="13">
        <v>3239.4</v>
      </c>
      <c r="I7" s="29" t="str">
        <f t="shared" si="0"/>
        <v>N/A</v>
      </c>
    </row>
    <row r="8" spans="1:9">
      <c r="A8" s="61"/>
      <c r="B8" s="63"/>
      <c r="C8" s="66"/>
      <c r="D8" s="69"/>
      <c r="E8" s="72"/>
      <c r="F8" s="72"/>
      <c r="G8" s="4" t="s">
        <v>153</v>
      </c>
      <c r="H8" s="13">
        <v>2999.99</v>
      </c>
      <c r="I8" s="29" t="str">
        <f t="shared" si="0"/>
        <v>N/A</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186.51865980825264</v>
      </c>
      <c r="B20" s="19">
        <f>COUNT(H3:H17)</f>
        <v>6</v>
      </c>
      <c r="C20" s="20">
        <f>IF(B20&lt;2,"N/A",(A20/D20))</f>
        <v>5.722484500467958E-2</v>
      </c>
      <c r="D20" s="21">
        <f>ROUND(AVERAGE(H3:H17),2)</f>
        <v>3259.4</v>
      </c>
      <c r="E20" s="22" t="str">
        <f>IFERROR(ROUND(IF(B20&lt;2,"N/A",(IF(C20&lt;=25%,"N/A",AVERAGE(I3:I17)))),2),"N/A")</f>
        <v>N/A</v>
      </c>
      <c r="F20" s="22">
        <f>ROUND(MEDIAN(H3:H17),2)</f>
        <v>3269.7</v>
      </c>
      <c r="G20" s="23" t="str">
        <f>INDEX(G3:G17,MATCH(H20,H3:H17,0))</f>
        <v>SUBMARINO</v>
      </c>
      <c r="H20" s="24">
        <f>MIN(H3:H17)</f>
        <v>2999.99</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3259.4</v>
      </c>
    </row>
    <row r="23" spans="1:11">
      <c r="B23" s="32"/>
      <c r="C23" s="32"/>
      <c r="D23" s="57"/>
      <c r="E23" s="57"/>
      <c r="F23" s="36"/>
      <c r="G23" s="27" t="s">
        <v>9</v>
      </c>
      <c r="H23" s="28">
        <f>ROUND(H22,2)*D3</f>
        <v>9778.2000000000007</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8" sqref="H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62</v>
      </c>
      <c r="B2" s="30" t="s">
        <v>24</v>
      </c>
      <c r="C2" s="30" t="s">
        <v>1</v>
      </c>
      <c r="D2" s="30" t="s">
        <v>2</v>
      </c>
      <c r="E2" s="14" t="s">
        <v>32</v>
      </c>
      <c r="F2" s="14" t="s">
        <v>33</v>
      </c>
      <c r="G2" s="30" t="s">
        <v>3</v>
      </c>
      <c r="H2" s="15" t="s">
        <v>4</v>
      </c>
      <c r="I2" s="16" t="s">
        <v>10</v>
      </c>
    </row>
    <row r="3" spans="1:9" ht="12.75" customHeight="1">
      <c r="A3" s="61"/>
      <c r="B3" s="62" t="s">
        <v>109</v>
      </c>
      <c r="C3" s="65" t="s">
        <v>8</v>
      </c>
      <c r="D3" s="68">
        <v>40</v>
      </c>
      <c r="E3" s="71">
        <f>IF(C20&lt;=25%,D20,MIN(E20:F20))</f>
        <v>976.95</v>
      </c>
      <c r="F3" s="71">
        <f>MIN(H3:H17)</f>
        <v>881.99</v>
      </c>
      <c r="G3" s="4" t="s">
        <v>160</v>
      </c>
      <c r="H3" s="13">
        <v>1099.9000000000001</v>
      </c>
      <c r="I3" s="29">
        <f>IF(H3="","",(IF($C$20&lt;25%,"N/A",IF(H3&lt;=($D$20+$A$20),H3,"Descartado"))))</f>
        <v>1099.9000000000001</v>
      </c>
    </row>
    <row r="4" spans="1:9">
      <c r="A4" s="61"/>
      <c r="B4" s="63"/>
      <c r="C4" s="66"/>
      <c r="D4" s="69"/>
      <c r="E4" s="72"/>
      <c r="F4" s="72"/>
      <c r="G4" s="4" t="s">
        <v>161</v>
      </c>
      <c r="H4" s="13">
        <v>1809.84</v>
      </c>
      <c r="I4" s="29" t="str">
        <f t="shared" ref="I4:I17" si="0">IF(H4="","",(IF($C$20&lt;25%,"N/A",IF(H4&lt;=($D$20+$A$20),H4,"Descartado"))))</f>
        <v>Descartado</v>
      </c>
    </row>
    <row r="5" spans="1:9">
      <c r="A5" s="61"/>
      <c r="B5" s="63"/>
      <c r="C5" s="66"/>
      <c r="D5" s="69"/>
      <c r="E5" s="72"/>
      <c r="F5" s="72"/>
      <c r="G5" s="4" t="s">
        <v>162</v>
      </c>
      <c r="H5" s="13">
        <v>881.99</v>
      </c>
      <c r="I5" s="29">
        <f t="shared" si="0"/>
        <v>881.99</v>
      </c>
    </row>
    <row r="6" spans="1:9">
      <c r="A6" s="61"/>
      <c r="B6" s="63"/>
      <c r="C6" s="66"/>
      <c r="D6" s="69"/>
      <c r="E6" s="72"/>
      <c r="F6" s="72"/>
      <c r="G6" s="4" t="s">
        <v>163</v>
      </c>
      <c r="H6" s="13">
        <v>1043.9000000000001</v>
      </c>
      <c r="I6" s="29">
        <f t="shared" si="0"/>
        <v>1043.9000000000001</v>
      </c>
    </row>
    <row r="7" spans="1:9">
      <c r="A7" s="61"/>
      <c r="B7" s="63"/>
      <c r="C7" s="66"/>
      <c r="D7" s="69"/>
      <c r="E7" s="72"/>
      <c r="F7" s="72"/>
      <c r="G7" s="4" t="s">
        <v>164</v>
      </c>
      <c r="H7" s="13">
        <v>881.99</v>
      </c>
      <c r="I7" s="29">
        <f t="shared" si="0"/>
        <v>881.99</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384.90423254362963</v>
      </c>
      <c r="B20" s="19">
        <f>COUNT(H3:H17)</f>
        <v>5</v>
      </c>
      <c r="C20" s="20">
        <f>IF(B20&lt;2,"N/A",(A20/D20))</f>
        <v>0.336595977808547</v>
      </c>
      <c r="D20" s="21">
        <f>ROUND(AVERAGE(H3:H17),2)</f>
        <v>1143.52</v>
      </c>
      <c r="E20" s="22">
        <f>IFERROR(ROUND(IF(B20&lt;2,"N/A",(IF(C20&lt;=25%,"N/A",AVERAGE(I3:I17)))),2),"N/A")</f>
        <v>976.95</v>
      </c>
      <c r="F20" s="22">
        <f>ROUND(MEDIAN(H3:H17),2)</f>
        <v>1043.9000000000001</v>
      </c>
      <c r="G20" s="23" t="str">
        <f>INDEX(G3:G17,MATCH(H20,H3:H17,0))</f>
        <v>FERRAMENTAS KENNEDY</v>
      </c>
      <c r="H20" s="24">
        <f>MIN(H3:H17)</f>
        <v>881.99</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976.95</v>
      </c>
    </row>
    <row r="23" spans="1:11">
      <c r="B23" s="32"/>
      <c r="C23" s="32"/>
      <c r="D23" s="57"/>
      <c r="E23" s="57"/>
      <c r="F23" s="36"/>
      <c r="G23" s="27" t="s">
        <v>9</v>
      </c>
      <c r="H23" s="28">
        <f>ROUND(H22,2)*D3</f>
        <v>39078</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11" sqref="H11"/>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63</v>
      </c>
      <c r="B2" s="30" t="s">
        <v>24</v>
      </c>
      <c r="C2" s="30" t="s">
        <v>1</v>
      </c>
      <c r="D2" s="30" t="s">
        <v>2</v>
      </c>
      <c r="E2" s="14" t="s">
        <v>32</v>
      </c>
      <c r="F2" s="14" t="s">
        <v>33</v>
      </c>
      <c r="G2" s="30" t="s">
        <v>3</v>
      </c>
      <c r="H2" s="15" t="s">
        <v>4</v>
      </c>
      <c r="I2" s="16" t="s">
        <v>10</v>
      </c>
    </row>
    <row r="3" spans="1:9" ht="12.75" customHeight="1">
      <c r="A3" s="61"/>
      <c r="B3" s="62" t="s">
        <v>110</v>
      </c>
      <c r="C3" s="65" t="s">
        <v>8</v>
      </c>
      <c r="D3" s="68">
        <v>40</v>
      </c>
      <c r="E3" s="71">
        <f>IF(C20&lt;=25%,D20,MIN(E20:F20))</f>
        <v>1016.34</v>
      </c>
      <c r="F3" s="71">
        <f>MIN(H3:H17)</f>
        <v>746.1</v>
      </c>
      <c r="G3" s="4" t="s">
        <v>163</v>
      </c>
      <c r="H3" s="13">
        <v>1052.04</v>
      </c>
      <c r="I3" s="29" t="str">
        <f>IF(H3="","",(IF($C$20&lt;25%,"N/A",IF(H3&lt;=($D$20+$A$20),H3,"Descartado"))))</f>
        <v>N/A</v>
      </c>
    </row>
    <row r="4" spans="1:9">
      <c r="A4" s="61"/>
      <c r="B4" s="63"/>
      <c r="C4" s="66"/>
      <c r="D4" s="69"/>
      <c r="E4" s="72"/>
      <c r="F4" s="72"/>
      <c r="G4" s="4" t="s">
        <v>165</v>
      </c>
      <c r="H4" s="13">
        <v>1020.3</v>
      </c>
      <c r="I4" s="29" t="str">
        <f t="shared" ref="I4:I17" si="0">IF(H4="","",(IF($C$20&lt;25%,"N/A",IF(H4&lt;=($D$20+$A$20),H4,"Descartado"))))</f>
        <v>N/A</v>
      </c>
    </row>
    <row r="5" spans="1:9">
      <c r="A5" s="61"/>
      <c r="B5" s="63"/>
      <c r="C5" s="66"/>
      <c r="D5" s="69"/>
      <c r="E5" s="72"/>
      <c r="F5" s="72"/>
      <c r="G5" s="4" t="s">
        <v>120</v>
      </c>
      <c r="H5" s="13">
        <v>989.99</v>
      </c>
      <c r="I5" s="29" t="str">
        <f t="shared" si="0"/>
        <v>N/A</v>
      </c>
    </row>
    <row r="6" spans="1:9">
      <c r="A6" s="61"/>
      <c r="B6" s="63"/>
      <c r="C6" s="66"/>
      <c r="D6" s="69"/>
      <c r="E6" s="72"/>
      <c r="F6" s="72"/>
      <c r="G6" s="4" t="s">
        <v>161</v>
      </c>
      <c r="H6" s="13">
        <v>1153.44</v>
      </c>
      <c r="I6" s="29" t="str">
        <f t="shared" si="0"/>
        <v>N/A</v>
      </c>
    </row>
    <row r="7" spans="1:9">
      <c r="A7" s="61"/>
      <c r="B7" s="63"/>
      <c r="C7" s="66"/>
      <c r="D7" s="69"/>
      <c r="E7" s="72"/>
      <c r="F7" s="72"/>
      <c r="G7" s="4" t="s">
        <v>166</v>
      </c>
      <c r="H7" s="13">
        <v>989.1</v>
      </c>
      <c r="I7" s="29" t="str">
        <f t="shared" si="0"/>
        <v>N/A</v>
      </c>
    </row>
    <row r="8" spans="1:9">
      <c r="A8" s="61"/>
      <c r="B8" s="63"/>
      <c r="C8" s="66"/>
      <c r="D8" s="69"/>
      <c r="E8" s="72"/>
      <c r="F8" s="72"/>
      <c r="G8" s="4" t="s">
        <v>167</v>
      </c>
      <c r="H8" s="13">
        <v>939</v>
      </c>
      <c r="I8" s="29" t="str">
        <f t="shared" si="0"/>
        <v>N/A</v>
      </c>
    </row>
    <row r="9" spans="1:9">
      <c r="A9" s="61"/>
      <c r="B9" s="63"/>
      <c r="C9" s="66"/>
      <c r="D9" s="69"/>
      <c r="E9" s="72"/>
      <c r="F9" s="72"/>
      <c r="G9" s="4" t="s">
        <v>168</v>
      </c>
      <c r="H9" s="13">
        <v>1240.75</v>
      </c>
      <c r="I9" s="29" t="str">
        <f t="shared" si="0"/>
        <v>N/A</v>
      </c>
    </row>
    <row r="10" spans="1:9">
      <c r="A10" s="61"/>
      <c r="B10" s="63"/>
      <c r="C10" s="66"/>
      <c r="D10" s="69"/>
      <c r="E10" s="72"/>
      <c r="F10" s="72"/>
      <c r="G10" s="4" t="s">
        <v>169</v>
      </c>
      <c r="H10" s="13">
        <v>746.1</v>
      </c>
      <c r="I10" s="29" t="str">
        <f t="shared" si="0"/>
        <v>N/A</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146.82054303517174</v>
      </c>
      <c r="B20" s="19">
        <f>COUNT(H3:H17)</f>
        <v>8</v>
      </c>
      <c r="C20" s="20">
        <f>IF(B20&lt;2,"N/A",(A20/D20))</f>
        <v>0.14446006556385829</v>
      </c>
      <c r="D20" s="21">
        <f>ROUND(AVERAGE(H3:H17),2)</f>
        <v>1016.34</v>
      </c>
      <c r="E20" s="22" t="str">
        <f>IFERROR(ROUND(IF(B20&lt;2,"N/A",(IF(C20&lt;=25%,"N/A",AVERAGE(I3:I17)))),2),"N/A")</f>
        <v>N/A</v>
      </c>
      <c r="F20" s="22">
        <f>ROUND(MEDIAN(H3:H17),2)</f>
        <v>1005.15</v>
      </c>
      <c r="G20" s="23" t="str">
        <f>INDEX(G3:G17,MATCH(H20,H3:H17,0))</f>
        <v>RM FERRAMENTAS</v>
      </c>
      <c r="H20" s="24">
        <f>MIN(H3:H17)</f>
        <v>746.1</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1016.34</v>
      </c>
    </row>
    <row r="23" spans="1:11">
      <c r="B23" s="32"/>
      <c r="C23" s="32"/>
      <c r="D23" s="57"/>
      <c r="E23" s="57"/>
      <c r="F23" s="36"/>
      <c r="G23" s="27" t="s">
        <v>9</v>
      </c>
      <c r="H23" s="28">
        <f>ROUND(H22,2)*D3</f>
        <v>40653.599999999999</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8" sqref="G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64</v>
      </c>
      <c r="B2" s="30" t="s">
        <v>24</v>
      </c>
      <c r="C2" s="30" t="s">
        <v>1</v>
      </c>
      <c r="D2" s="30" t="s">
        <v>2</v>
      </c>
      <c r="E2" s="14" t="s">
        <v>32</v>
      </c>
      <c r="F2" s="14" t="s">
        <v>33</v>
      </c>
      <c r="G2" s="30" t="s">
        <v>3</v>
      </c>
      <c r="H2" s="15" t="s">
        <v>4</v>
      </c>
      <c r="I2" s="16" t="s">
        <v>10</v>
      </c>
    </row>
    <row r="3" spans="1:9" ht="12.75" customHeight="1">
      <c r="A3" s="61"/>
      <c r="B3" s="62" t="s">
        <v>188</v>
      </c>
      <c r="C3" s="65" t="s">
        <v>8</v>
      </c>
      <c r="D3" s="68">
        <v>5</v>
      </c>
      <c r="E3" s="71">
        <f>IF(C20&lt;=25%,D20,MIN(E20:F20))</f>
        <v>2530.27</v>
      </c>
      <c r="F3" s="71">
        <f>MIN(H3:H17)</f>
        <v>2101.5</v>
      </c>
      <c r="G3" s="4" t="s">
        <v>118</v>
      </c>
      <c r="H3" s="13">
        <v>2215.1999999999998</v>
      </c>
      <c r="I3" s="29" t="str">
        <f>IF(H3="","",(IF($C$20&lt;25%,"N/A",IF(H3&lt;=($D$20+$A$20),H3,"Descartado"))))</f>
        <v>N/A</v>
      </c>
    </row>
    <row r="4" spans="1:9">
      <c r="A4" s="61"/>
      <c r="B4" s="63"/>
      <c r="C4" s="66"/>
      <c r="D4" s="69"/>
      <c r="E4" s="72"/>
      <c r="F4" s="72"/>
      <c r="G4" s="4" t="s">
        <v>189</v>
      </c>
      <c r="H4" s="13">
        <v>3013.8</v>
      </c>
      <c r="I4" s="29" t="str">
        <f t="shared" ref="I4:I17" si="0">IF(H4="","",(IF($C$20&lt;25%,"N/A",IF(H4&lt;=($D$20+$A$20),H4,"Descartado"))))</f>
        <v>N/A</v>
      </c>
    </row>
    <row r="5" spans="1:9">
      <c r="A5" s="61"/>
      <c r="B5" s="63"/>
      <c r="C5" s="66"/>
      <c r="D5" s="69"/>
      <c r="E5" s="72"/>
      <c r="F5" s="72"/>
      <c r="G5" s="4" t="s">
        <v>151</v>
      </c>
      <c r="H5" s="13">
        <v>2195.5500000000002</v>
      </c>
      <c r="I5" s="29" t="str">
        <f t="shared" si="0"/>
        <v>N/A</v>
      </c>
    </row>
    <row r="6" spans="1:9">
      <c r="A6" s="61"/>
      <c r="B6" s="63"/>
      <c r="C6" s="66"/>
      <c r="D6" s="69"/>
      <c r="E6" s="72"/>
      <c r="F6" s="72"/>
      <c r="G6" s="4" t="s">
        <v>172</v>
      </c>
      <c r="H6" s="13">
        <v>2101.5</v>
      </c>
      <c r="I6" s="29" t="str">
        <f t="shared" si="0"/>
        <v>N/A</v>
      </c>
    </row>
    <row r="7" spans="1:9">
      <c r="A7" s="61"/>
      <c r="B7" s="63"/>
      <c r="C7" s="66"/>
      <c r="D7" s="69"/>
      <c r="E7" s="72"/>
      <c r="F7" s="72"/>
      <c r="G7" s="4" t="s">
        <v>154</v>
      </c>
      <c r="H7" s="13">
        <v>3125.3</v>
      </c>
      <c r="I7" s="29" t="str">
        <f t="shared" si="0"/>
        <v>N/A</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495.7348731933252</v>
      </c>
      <c r="B20" s="19">
        <f>COUNT(H3:H17)</f>
        <v>5</v>
      </c>
      <c r="C20" s="20">
        <f>IF(B20&lt;2,"N/A",(A20/D20))</f>
        <v>0.19592172898280627</v>
      </c>
      <c r="D20" s="21">
        <f>ROUND(AVERAGE(H3:H17),2)</f>
        <v>2530.27</v>
      </c>
      <c r="E20" s="22" t="str">
        <f>IFERROR(ROUND(IF(B20&lt;2,"N/A",(IF(C20&lt;=25%,"N/A",AVERAGE(I3:I17)))),2),"N/A")</f>
        <v>N/A</v>
      </c>
      <c r="F20" s="22">
        <f>ROUND(MEDIAN(H3:H17),2)</f>
        <v>2215.1999999999998</v>
      </c>
      <c r="G20" s="23" t="str">
        <f>INDEX(G3:G17,MATCH(H20,H3:H17,0))</f>
        <v>REFRISOL</v>
      </c>
      <c r="H20" s="24">
        <f>MIN(H3:H17)</f>
        <v>2101.5</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2530.27</v>
      </c>
    </row>
    <row r="23" spans="1:11">
      <c r="B23" s="32"/>
      <c r="C23" s="32"/>
      <c r="D23" s="57"/>
      <c r="E23" s="57"/>
      <c r="F23" s="36"/>
      <c r="G23" s="27" t="s">
        <v>9</v>
      </c>
      <c r="H23" s="28">
        <f>ROUND(H22,2)*D3</f>
        <v>12651.35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B18" sqref="B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65</v>
      </c>
      <c r="B2" s="30" t="s">
        <v>24</v>
      </c>
      <c r="C2" s="30" t="s">
        <v>1</v>
      </c>
      <c r="D2" s="30" t="s">
        <v>2</v>
      </c>
      <c r="E2" s="14" t="s">
        <v>32</v>
      </c>
      <c r="F2" s="14" t="s">
        <v>33</v>
      </c>
      <c r="G2" s="30" t="s">
        <v>3</v>
      </c>
      <c r="H2" s="15" t="s">
        <v>4</v>
      </c>
      <c r="I2" s="16" t="s">
        <v>10</v>
      </c>
    </row>
    <row r="3" spans="1:9" ht="12.75" customHeight="1">
      <c r="A3" s="61"/>
      <c r="B3" s="62" t="s">
        <v>180</v>
      </c>
      <c r="C3" s="65" t="s">
        <v>8</v>
      </c>
      <c r="D3" s="68">
        <v>4</v>
      </c>
      <c r="E3" s="71">
        <f>IF(C20&lt;=25%,D20,MIN(E20:F20))</f>
        <v>469.94</v>
      </c>
      <c r="F3" s="71">
        <f>MIN(H3:H17)</f>
        <v>270</v>
      </c>
      <c r="G3" s="4" t="s">
        <v>121</v>
      </c>
      <c r="H3" s="13">
        <v>370.49</v>
      </c>
      <c r="I3" s="29" t="str">
        <f>IF(H3="","",(IF($C$20&lt;25%,"N/A",IF(H3&lt;=($D$20+$A$20),H3,"Descartado"))))</f>
        <v>N/A</v>
      </c>
    </row>
    <row r="4" spans="1:9">
      <c r="A4" s="61"/>
      <c r="B4" s="63"/>
      <c r="C4" s="66"/>
      <c r="D4" s="69"/>
      <c r="E4" s="72"/>
      <c r="F4" s="72"/>
      <c r="G4" s="4" t="s">
        <v>126</v>
      </c>
      <c r="H4" s="13">
        <v>529.9</v>
      </c>
      <c r="I4" s="29" t="str">
        <f t="shared" ref="I4:I17" si="0">IF(H4="","",(IF($C$20&lt;25%,"N/A",IF(H4&lt;=($D$20+$A$20),H4,"Descartado"))))</f>
        <v>N/A</v>
      </c>
    </row>
    <row r="5" spans="1:9">
      <c r="A5" s="61"/>
      <c r="B5" s="63"/>
      <c r="C5" s="66"/>
      <c r="D5" s="69"/>
      <c r="E5" s="72"/>
      <c r="F5" s="72"/>
      <c r="G5" s="4" t="s">
        <v>170</v>
      </c>
      <c r="H5" s="13">
        <v>270</v>
      </c>
      <c r="I5" s="29" t="str">
        <f t="shared" si="0"/>
        <v>N/A</v>
      </c>
    </row>
    <row r="6" spans="1:9">
      <c r="A6" s="61"/>
      <c r="B6" s="63"/>
      <c r="C6" s="66"/>
      <c r="D6" s="69"/>
      <c r="E6" s="72"/>
      <c r="F6" s="72"/>
      <c r="G6" s="4" t="s">
        <v>151</v>
      </c>
      <c r="H6" s="13">
        <v>524.70000000000005</v>
      </c>
      <c r="I6" s="29" t="str">
        <f t="shared" si="0"/>
        <v>N/A</v>
      </c>
    </row>
    <row r="7" spans="1:9">
      <c r="A7" s="61"/>
      <c r="B7" s="63"/>
      <c r="C7" s="66"/>
      <c r="D7" s="69"/>
      <c r="E7" s="72"/>
      <c r="F7" s="72"/>
      <c r="G7" s="4" t="s">
        <v>171</v>
      </c>
      <c r="H7" s="13">
        <v>584.97</v>
      </c>
      <c r="I7" s="29" t="str">
        <f t="shared" si="0"/>
        <v>N/A</v>
      </c>
    </row>
    <row r="8" spans="1:9">
      <c r="A8" s="61"/>
      <c r="B8" s="63"/>
      <c r="C8" s="66"/>
      <c r="D8" s="69"/>
      <c r="E8" s="72"/>
      <c r="F8" s="72"/>
      <c r="G8" s="4" t="s">
        <v>118</v>
      </c>
      <c r="H8" s="13">
        <v>460.49</v>
      </c>
      <c r="I8" s="29" t="str">
        <f t="shared" si="0"/>
        <v>N/A</v>
      </c>
    </row>
    <row r="9" spans="1:9">
      <c r="A9" s="61"/>
      <c r="B9" s="63"/>
      <c r="C9" s="66"/>
      <c r="D9" s="69"/>
      <c r="E9" s="72"/>
      <c r="F9" s="72"/>
      <c r="G9" s="4" t="s">
        <v>172</v>
      </c>
      <c r="H9" s="13">
        <v>549</v>
      </c>
      <c r="I9" s="29" t="str">
        <f t="shared" si="0"/>
        <v>N/A</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112.56986880113502</v>
      </c>
      <c r="B20" s="19">
        <f>COUNT(H3:H17)</f>
        <v>7</v>
      </c>
      <c r="C20" s="20">
        <f>IF(B20&lt;2,"N/A",(A20/D20))</f>
        <v>0.23954093884567182</v>
      </c>
      <c r="D20" s="21">
        <f>ROUND(AVERAGE(H3:H17),2)</f>
        <v>469.94</v>
      </c>
      <c r="E20" s="22" t="str">
        <f>IFERROR(ROUND(IF(B20&lt;2,"N/A",(IF(C20&lt;=25%,"N/A",AVERAGE(I3:I17)))),2),"N/A")</f>
        <v>N/A</v>
      </c>
      <c r="F20" s="22">
        <f>ROUND(MEDIAN(H3:H17),2)</f>
        <v>524.70000000000005</v>
      </c>
      <c r="G20" s="23" t="str">
        <f>INDEX(G3:G17,MATCH(H20,H3:H17,0))</f>
        <v>EQUIPAMENTOS RODRIGUES</v>
      </c>
      <c r="H20" s="24">
        <f>MIN(H3:H17)</f>
        <v>270</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469.94</v>
      </c>
    </row>
    <row r="23" spans="1:11">
      <c r="B23" s="32"/>
      <c r="C23" s="32"/>
      <c r="D23" s="57"/>
      <c r="E23" s="57"/>
      <c r="F23" s="36"/>
      <c r="G23" s="27" t="s">
        <v>9</v>
      </c>
      <c r="H23" s="28">
        <f>ROUND(H22,2)*D3</f>
        <v>1879.76</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B18" sqref="B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66</v>
      </c>
      <c r="B2" s="30" t="s">
        <v>24</v>
      </c>
      <c r="C2" s="30" t="s">
        <v>1</v>
      </c>
      <c r="D2" s="30" t="s">
        <v>2</v>
      </c>
      <c r="E2" s="14" t="s">
        <v>32</v>
      </c>
      <c r="F2" s="14" t="s">
        <v>33</v>
      </c>
      <c r="G2" s="30" t="s">
        <v>3</v>
      </c>
      <c r="H2" s="15" t="s">
        <v>4</v>
      </c>
      <c r="I2" s="16" t="s">
        <v>10</v>
      </c>
    </row>
    <row r="3" spans="1:9" ht="12.75" customHeight="1">
      <c r="A3" s="61"/>
      <c r="B3" s="62" t="s">
        <v>181</v>
      </c>
      <c r="C3" s="65" t="s">
        <v>8</v>
      </c>
      <c r="D3" s="68">
        <v>4</v>
      </c>
      <c r="E3" s="71">
        <f>IF(C20&lt;=25%,D20,MIN(E20:F20))</f>
        <v>535.15</v>
      </c>
      <c r="F3" s="71">
        <f>MIN(H3:H17)</f>
        <v>438</v>
      </c>
      <c r="G3" s="4" t="s">
        <v>120</v>
      </c>
      <c r="H3" s="13">
        <v>591.82000000000005</v>
      </c>
      <c r="I3" s="29" t="str">
        <f>IF(H3="","",(IF($C$20&lt;25%,"N/A",IF(H3&lt;=($D$20+$A$20),H3,"Descartado"))))</f>
        <v>N/A</v>
      </c>
    </row>
    <row r="4" spans="1:9">
      <c r="A4" s="61"/>
      <c r="B4" s="63"/>
      <c r="C4" s="66"/>
      <c r="D4" s="69"/>
      <c r="E4" s="72"/>
      <c r="F4" s="72"/>
      <c r="G4" s="4" t="s">
        <v>150</v>
      </c>
      <c r="H4" s="13">
        <v>566.1</v>
      </c>
      <c r="I4" s="29" t="str">
        <f t="shared" ref="I4:I17" si="0">IF(H4="","",(IF($C$20&lt;25%,"N/A",IF(H4&lt;=($D$20+$A$20),H4,"Descartado"))))</f>
        <v>N/A</v>
      </c>
    </row>
    <row r="5" spans="1:9">
      <c r="A5" s="61"/>
      <c r="B5" s="63"/>
      <c r="C5" s="66"/>
      <c r="D5" s="69"/>
      <c r="E5" s="72"/>
      <c r="F5" s="72"/>
      <c r="G5" s="4" t="s">
        <v>171</v>
      </c>
      <c r="H5" s="13">
        <v>584.97</v>
      </c>
      <c r="I5" s="29" t="str">
        <f t="shared" si="0"/>
        <v>N/A</v>
      </c>
    </row>
    <row r="6" spans="1:9">
      <c r="A6" s="61"/>
      <c r="B6" s="63"/>
      <c r="C6" s="66"/>
      <c r="D6" s="69"/>
      <c r="E6" s="72"/>
      <c r="F6" s="72"/>
      <c r="G6" s="4" t="s">
        <v>173</v>
      </c>
      <c r="H6" s="13">
        <v>494.85</v>
      </c>
      <c r="I6" s="29" t="str">
        <f t="shared" si="0"/>
        <v>N/A</v>
      </c>
    </row>
    <row r="7" spans="1:9">
      <c r="A7" s="61"/>
      <c r="B7" s="63"/>
      <c r="C7" s="66"/>
      <c r="D7" s="69"/>
      <c r="E7" s="72"/>
      <c r="F7" s="72"/>
      <c r="G7" s="4" t="s">
        <v>148</v>
      </c>
      <c r="H7" s="13">
        <v>438</v>
      </c>
      <c r="I7" s="29" t="str">
        <f t="shared" si="0"/>
        <v>N/A</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66.546292684115286</v>
      </c>
      <c r="B20" s="19">
        <f>COUNT(H3:H17)</f>
        <v>5</v>
      </c>
      <c r="C20" s="20">
        <f>IF(B20&lt;2,"N/A",(A20/D20))</f>
        <v>0.12435072911167951</v>
      </c>
      <c r="D20" s="21">
        <f>ROUND(AVERAGE(H3:H17),2)</f>
        <v>535.15</v>
      </c>
      <c r="E20" s="22" t="str">
        <f>IFERROR(ROUND(IF(B20&lt;2,"N/A",(IF(C20&lt;=25%,"N/A",AVERAGE(I3:I17)))),2),"N/A")</f>
        <v>N/A</v>
      </c>
      <c r="F20" s="22">
        <f>ROUND(MEDIAN(H3:H17),2)</f>
        <v>566.1</v>
      </c>
      <c r="G20" s="23" t="str">
        <f>INDEX(G3:G17,MATCH(H20,H3:H17,0))</f>
        <v>SHOPTIME</v>
      </c>
      <c r="H20" s="24">
        <f>MIN(H3:H17)</f>
        <v>438</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535.15</v>
      </c>
    </row>
    <row r="23" spans="1:11">
      <c r="B23" s="32"/>
      <c r="C23" s="32"/>
      <c r="D23" s="57"/>
      <c r="E23" s="57"/>
      <c r="F23" s="36"/>
      <c r="G23" s="27" t="s">
        <v>9</v>
      </c>
      <c r="H23" s="28">
        <f>ROUND(H22,2)*D3</f>
        <v>2140.6</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3" sqref="G3:H10"/>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67</v>
      </c>
      <c r="B2" s="30" t="s">
        <v>24</v>
      </c>
      <c r="C2" s="30" t="s">
        <v>1</v>
      </c>
      <c r="D2" s="30" t="s">
        <v>2</v>
      </c>
      <c r="E2" s="14" t="s">
        <v>32</v>
      </c>
      <c r="F2" s="14" t="s">
        <v>33</v>
      </c>
      <c r="G2" s="30" t="s">
        <v>3</v>
      </c>
      <c r="H2" s="15" t="s">
        <v>4</v>
      </c>
      <c r="I2" s="16" t="s">
        <v>10</v>
      </c>
    </row>
    <row r="3" spans="1:9" ht="12.75" customHeight="1">
      <c r="A3" s="61"/>
      <c r="B3" s="62" t="s">
        <v>111</v>
      </c>
      <c r="C3" s="65" t="s">
        <v>8</v>
      </c>
      <c r="D3" s="68">
        <f>300*0.25</f>
        <v>75</v>
      </c>
      <c r="E3" s="71">
        <f>IF(C20&lt;=25%,D20,MIN(E20:F20))</f>
        <v>403.18</v>
      </c>
      <c r="F3" s="71">
        <f>MIN(H3:H17)</f>
        <v>338.8</v>
      </c>
      <c r="G3" s="4" t="s">
        <v>125</v>
      </c>
      <c r="H3" s="13">
        <v>379</v>
      </c>
      <c r="I3" s="29">
        <f>IF(H3="","",(IF($C$20&lt;25%,"N/A",IF(H3&lt;=($D$20+$A$20),H3,"Descartado"))))</f>
        <v>379</v>
      </c>
    </row>
    <row r="4" spans="1:9">
      <c r="A4" s="61"/>
      <c r="B4" s="63"/>
      <c r="C4" s="66"/>
      <c r="D4" s="69"/>
      <c r="E4" s="72"/>
      <c r="F4" s="72"/>
      <c r="G4" s="4" t="s">
        <v>134</v>
      </c>
      <c r="H4" s="13">
        <v>338.8</v>
      </c>
      <c r="I4" s="29">
        <f t="shared" ref="I4:I17" si="0">IF(H4="","",(IF($C$20&lt;25%,"N/A",IF(H4&lt;=($D$20+$A$20),H4,"Descartado"))))</f>
        <v>338.8</v>
      </c>
    </row>
    <row r="5" spans="1:9">
      <c r="A5" s="61"/>
      <c r="B5" s="63"/>
      <c r="C5" s="66"/>
      <c r="D5" s="69"/>
      <c r="E5" s="72"/>
      <c r="F5" s="72"/>
      <c r="G5" s="4" t="s">
        <v>190</v>
      </c>
      <c r="H5" s="13">
        <v>640</v>
      </c>
      <c r="I5" s="29" t="str">
        <f t="shared" si="0"/>
        <v>Descartado</v>
      </c>
    </row>
    <row r="6" spans="1:9">
      <c r="A6" s="61"/>
      <c r="B6" s="63"/>
      <c r="C6" s="66"/>
      <c r="D6" s="69"/>
      <c r="E6" s="72"/>
      <c r="F6" s="72"/>
      <c r="G6" s="4" t="s">
        <v>191</v>
      </c>
      <c r="H6" s="13">
        <v>474.9</v>
      </c>
      <c r="I6" s="29">
        <f t="shared" si="0"/>
        <v>474.9</v>
      </c>
    </row>
    <row r="7" spans="1:9">
      <c r="A7" s="61"/>
      <c r="B7" s="63"/>
      <c r="C7" s="66"/>
      <c r="D7" s="69"/>
      <c r="E7" s="72"/>
      <c r="F7" s="72"/>
      <c r="G7" s="4" t="s">
        <v>192</v>
      </c>
      <c r="H7" s="13">
        <v>420</v>
      </c>
      <c r="I7" s="29">
        <f t="shared" si="0"/>
        <v>420</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117.28703253130766</v>
      </c>
      <c r="B20" s="19">
        <f>COUNT(H3:H17)</f>
        <v>5</v>
      </c>
      <c r="C20" s="20">
        <f>IF(B20&lt;2,"N/A",(A20/D20))</f>
        <v>0.26032545951815078</v>
      </c>
      <c r="D20" s="21">
        <f>ROUND(AVERAGE(H3:H17),2)</f>
        <v>450.54</v>
      </c>
      <c r="E20" s="22">
        <f>IFERROR(ROUND(IF(B20&lt;2,"N/A",(IF(C20&lt;=25%,"N/A",AVERAGE(I3:I17)))),2),"N/A")</f>
        <v>403.18</v>
      </c>
      <c r="F20" s="22">
        <f>ROUND(MEDIAN(H3:H17),2)</f>
        <v>420</v>
      </c>
      <c r="G20" s="23" t="str">
        <f>INDEX(G3:G17,MATCH(H20,H3:H17,0))</f>
        <v>LOJA MUNDI</v>
      </c>
      <c r="H20" s="24">
        <f>MIN(H3:H17)</f>
        <v>338.8</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403.18</v>
      </c>
    </row>
    <row r="23" spans="1:11">
      <c r="B23" s="32"/>
      <c r="C23" s="32"/>
      <c r="D23" s="57"/>
      <c r="E23" s="57"/>
      <c r="F23" s="36"/>
      <c r="G23" s="27" t="s">
        <v>9</v>
      </c>
      <c r="H23" s="28">
        <f>ROUND(H22,2)*D3</f>
        <v>30238.5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8" sqref="H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68</v>
      </c>
      <c r="B2" s="30" t="s">
        <v>24</v>
      </c>
      <c r="C2" s="30" t="s">
        <v>1</v>
      </c>
      <c r="D2" s="30" t="s">
        <v>2</v>
      </c>
      <c r="E2" s="14" t="s">
        <v>32</v>
      </c>
      <c r="F2" s="14" t="s">
        <v>33</v>
      </c>
      <c r="G2" s="30" t="s">
        <v>3</v>
      </c>
      <c r="H2" s="15" t="s">
        <v>4</v>
      </c>
      <c r="I2" s="16" t="s">
        <v>10</v>
      </c>
    </row>
    <row r="3" spans="1:9" ht="12.75" customHeight="1">
      <c r="A3" s="61"/>
      <c r="B3" s="62" t="s">
        <v>112</v>
      </c>
      <c r="C3" s="65" t="s">
        <v>8</v>
      </c>
      <c r="D3" s="68">
        <v>50</v>
      </c>
      <c r="E3" s="71">
        <f>IF(C20&lt;=25%,D20,MIN(E20:F20))</f>
        <v>22.27</v>
      </c>
      <c r="F3" s="71">
        <f>MIN(H3:H17)</f>
        <v>19.77</v>
      </c>
      <c r="G3" s="4" t="s">
        <v>126</v>
      </c>
      <c r="H3" s="13">
        <v>19.77</v>
      </c>
      <c r="I3" s="29" t="str">
        <f>IF(H3="","",(IF($C$20&lt;25%,"N/A",IF(H3&lt;=($D$20+$A$20),H3,"Descartado"))))</f>
        <v>N/A</v>
      </c>
    </row>
    <row r="4" spans="1:9">
      <c r="A4" s="61"/>
      <c r="B4" s="63"/>
      <c r="C4" s="66"/>
      <c r="D4" s="69"/>
      <c r="E4" s="72"/>
      <c r="F4" s="72"/>
      <c r="G4" s="4" t="s">
        <v>118</v>
      </c>
      <c r="H4" s="13">
        <v>23.09</v>
      </c>
      <c r="I4" s="29" t="str">
        <f t="shared" ref="I4:I17" si="0">IF(H4="","",(IF($C$20&lt;25%,"N/A",IF(H4&lt;=($D$20+$A$20),H4,"Descartado"))))</f>
        <v>N/A</v>
      </c>
    </row>
    <row r="5" spans="1:9">
      <c r="A5" s="61"/>
      <c r="B5" s="63"/>
      <c r="C5" s="66"/>
      <c r="D5" s="69"/>
      <c r="E5" s="72"/>
      <c r="F5" s="72"/>
      <c r="G5" s="4" t="s">
        <v>120</v>
      </c>
      <c r="H5" s="13">
        <v>19.77</v>
      </c>
      <c r="I5" s="29" t="str">
        <f t="shared" si="0"/>
        <v>N/A</v>
      </c>
    </row>
    <row r="6" spans="1:9">
      <c r="A6" s="61"/>
      <c r="B6" s="63"/>
      <c r="C6" s="66"/>
      <c r="D6" s="69"/>
      <c r="E6" s="72"/>
      <c r="F6" s="72"/>
      <c r="G6" s="4" t="s">
        <v>174</v>
      </c>
      <c r="H6" s="13">
        <v>24.9</v>
      </c>
      <c r="I6" s="29" t="str">
        <f t="shared" si="0"/>
        <v>N/A</v>
      </c>
    </row>
    <row r="7" spans="1:9">
      <c r="A7" s="61"/>
      <c r="B7" s="63"/>
      <c r="C7" s="66"/>
      <c r="D7" s="69"/>
      <c r="E7" s="72"/>
      <c r="F7" s="72"/>
      <c r="G7" s="4" t="s">
        <v>163</v>
      </c>
      <c r="H7" s="13">
        <v>23.84</v>
      </c>
      <c r="I7" s="29" t="str">
        <f t="shared" si="0"/>
        <v>N/A</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2.374558906407672</v>
      </c>
      <c r="B20" s="19">
        <f>COUNT(H3:H17)</f>
        <v>5</v>
      </c>
      <c r="C20" s="20">
        <f>IF(B20&lt;2,"N/A",(A20/D20))</f>
        <v>0.10662590509239658</v>
      </c>
      <c r="D20" s="21">
        <f>ROUND(AVERAGE(H3:H17),2)</f>
        <v>22.27</v>
      </c>
      <c r="E20" s="22" t="str">
        <f>IFERROR(ROUND(IF(B20&lt;2,"N/A",(IF(C20&lt;=25%,"N/A",AVERAGE(I3:I17)))),2),"N/A")</f>
        <v>N/A</v>
      </c>
      <c r="F20" s="22">
        <f>ROUND(MEDIAN(H3:H17),2)</f>
        <v>23.09</v>
      </c>
      <c r="G20" s="23" t="str">
        <f>INDEX(G3:G17,MATCH(H20,H3:H17,0))</f>
        <v>AMAZON</v>
      </c>
      <c r="H20" s="24">
        <f>MIN(H3:H17)</f>
        <v>19.77</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22.27</v>
      </c>
    </row>
    <row r="23" spans="1:11">
      <c r="B23" s="32"/>
      <c r="C23" s="32"/>
      <c r="D23" s="57"/>
      <c r="E23" s="57"/>
      <c r="F23" s="36"/>
      <c r="G23" s="27" t="s">
        <v>9</v>
      </c>
      <c r="H23" s="28">
        <f>ROUND(H22,2)*D3</f>
        <v>1113.5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69</v>
      </c>
      <c r="B2" s="30" t="s">
        <v>24</v>
      </c>
      <c r="C2" s="30" t="s">
        <v>1</v>
      </c>
      <c r="D2" s="30" t="s">
        <v>2</v>
      </c>
      <c r="E2" s="14" t="s">
        <v>32</v>
      </c>
      <c r="F2" s="14" t="s">
        <v>33</v>
      </c>
      <c r="G2" s="30" t="s">
        <v>3</v>
      </c>
      <c r="H2" s="15" t="s">
        <v>4</v>
      </c>
      <c r="I2" s="16" t="s">
        <v>10</v>
      </c>
    </row>
    <row r="3" spans="1:9" ht="12.75" customHeight="1">
      <c r="A3" s="61"/>
      <c r="B3" s="62" t="s">
        <v>113</v>
      </c>
      <c r="C3" s="65" t="s">
        <v>8</v>
      </c>
      <c r="D3" s="68">
        <v>3</v>
      </c>
      <c r="E3" s="71">
        <f>IF(C20&lt;=25%,D20,MIN(E20:F20))</f>
        <v>30796.38</v>
      </c>
      <c r="F3" s="71">
        <f>MIN(H3:H17)</f>
        <v>19590</v>
      </c>
      <c r="G3" s="4" t="s">
        <v>193</v>
      </c>
      <c r="H3" s="13">
        <v>29790</v>
      </c>
      <c r="I3" s="29">
        <f>IF(H3="","",(IF($C$20&lt;25%,"N/A",IF(H3&lt;=($D$20+$A$20),H3,"Descartado"))))</f>
        <v>29790</v>
      </c>
    </row>
    <row r="4" spans="1:9">
      <c r="A4" s="61"/>
      <c r="B4" s="63"/>
      <c r="C4" s="66"/>
      <c r="D4" s="69"/>
      <c r="E4" s="72"/>
      <c r="F4" s="72"/>
      <c r="G4" s="4" t="s">
        <v>194</v>
      </c>
      <c r="H4" s="13">
        <v>35815</v>
      </c>
      <c r="I4" s="29">
        <f t="shared" ref="I4:I17" si="0">IF(H4="","",(IF($C$20&lt;25%,"N/A",IF(H4&lt;=($D$20+$A$20),H4,"Descartado"))))</f>
        <v>35815</v>
      </c>
    </row>
    <row r="5" spans="1:9">
      <c r="A5" s="61"/>
      <c r="B5" s="63"/>
      <c r="C5" s="66"/>
      <c r="D5" s="69"/>
      <c r="E5" s="72"/>
      <c r="F5" s="72"/>
      <c r="G5" s="4" t="s">
        <v>195</v>
      </c>
      <c r="H5" s="13">
        <v>19590</v>
      </c>
      <c r="I5" s="29">
        <f t="shared" si="0"/>
        <v>19590</v>
      </c>
    </row>
    <row r="6" spans="1:9">
      <c r="A6" s="61"/>
      <c r="B6" s="63"/>
      <c r="C6" s="66"/>
      <c r="D6" s="69"/>
      <c r="E6" s="72"/>
      <c r="F6" s="72"/>
      <c r="G6" s="4" t="s">
        <v>196</v>
      </c>
      <c r="H6" s="13">
        <v>37990.5</v>
      </c>
      <c r="I6" s="29">
        <f t="shared" si="0"/>
        <v>37990.5</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8236.861511674213</v>
      </c>
      <c r="B20" s="19">
        <f>COUNT(H3:H17)</f>
        <v>4</v>
      </c>
      <c r="C20" s="20">
        <f>IF(B20&lt;2,"N/A",(A20/D20))</f>
        <v>0.26746200403015591</v>
      </c>
      <c r="D20" s="21">
        <f>ROUND(AVERAGE(H3:H17),2)</f>
        <v>30796.38</v>
      </c>
      <c r="E20" s="22">
        <f>IFERROR(ROUND(IF(B20&lt;2,"N/A",(IF(C20&lt;=25%,"N/A",AVERAGE(I3:I17)))),2),"N/A")</f>
        <v>30796.38</v>
      </c>
      <c r="F20" s="22">
        <f>ROUND(MEDIAN(H3:H17),2)</f>
        <v>32802.5</v>
      </c>
      <c r="G20" s="23" t="str">
        <f>INDEX(G3:G17,MATCH(H20,H3:H17,0))</f>
        <v>HT CLICK</v>
      </c>
      <c r="H20" s="24">
        <f>MIN(H3:H17)</f>
        <v>19590</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30796.38</v>
      </c>
    </row>
    <row r="23" spans="1:11">
      <c r="B23" s="32"/>
      <c r="C23" s="32"/>
      <c r="D23" s="57"/>
      <c r="E23" s="57"/>
      <c r="F23" s="36"/>
      <c r="G23" s="27" t="s">
        <v>9</v>
      </c>
      <c r="H23" s="28">
        <f>ROUND(H22,2)*D3</f>
        <v>92389.14</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10" sqref="H10"/>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43</v>
      </c>
      <c r="B2" s="30" t="s">
        <v>24</v>
      </c>
      <c r="C2" s="30" t="s">
        <v>1</v>
      </c>
      <c r="D2" s="30" t="s">
        <v>2</v>
      </c>
      <c r="E2" s="14" t="s">
        <v>32</v>
      </c>
      <c r="F2" s="14" t="s">
        <v>33</v>
      </c>
      <c r="G2" s="30" t="s">
        <v>3</v>
      </c>
      <c r="H2" s="15" t="s">
        <v>4</v>
      </c>
      <c r="I2" s="16" t="s">
        <v>10</v>
      </c>
    </row>
    <row r="3" spans="1:9" ht="12.75" customHeight="1">
      <c r="A3" s="61"/>
      <c r="B3" s="62" t="s">
        <v>92</v>
      </c>
      <c r="C3" s="65" t="s">
        <v>8</v>
      </c>
      <c r="D3" s="68">
        <v>150</v>
      </c>
      <c r="E3" s="71">
        <f>IF(C20&lt;=25%,D20,MIN(E20:F20))</f>
        <v>143.16999999999999</v>
      </c>
      <c r="F3" s="71">
        <f>MIN(H3:H17)</f>
        <v>107.9</v>
      </c>
      <c r="G3" s="4" t="s">
        <v>126</v>
      </c>
      <c r="H3" s="13">
        <v>160</v>
      </c>
      <c r="I3" s="29" t="str">
        <f>IF(H3="","",(IF($C$20&lt;25%,"N/A",IF(H3&lt;=($D$20+$A$20),H3,"Descartado"))))</f>
        <v>N/A</v>
      </c>
    </row>
    <row r="4" spans="1:9">
      <c r="A4" s="61"/>
      <c r="B4" s="63"/>
      <c r="C4" s="66"/>
      <c r="D4" s="69"/>
      <c r="E4" s="72"/>
      <c r="F4" s="72"/>
      <c r="G4" s="4" t="s">
        <v>119</v>
      </c>
      <c r="H4" s="13">
        <v>107.9</v>
      </c>
      <c r="I4" s="29" t="str">
        <f t="shared" ref="I4:I17" si="0">IF(H4="","",(IF($C$20&lt;25%,"N/A",IF(H4&lt;=($D$20+$A$20),H4,"Descartado"))))</f>
        <v>N/A</v>
      </c>
    </row>
    <row r="5" spans="1:9">
      <c r="A5" s="61"/>
      <c r="B5" s="63"/>
      <c r="C5" s="66"/>
      <c r="D5" s="69"/>
      <c r="E5" s="72"/>
      <c r="F5" s="72"/>
      <c r="G5" s="4" t="s">
        <v>129</v>
      </c>
      <c r="H5" s="13">
        <v>166.16</v>
      </c>
      <c r="I5" s="29" t="str">
        <f t="shared" si="0"/>
        <v>N/A</v>
      </c>
    </row>
    <row r="6" spans="1:9">
      <c r="A6" s="61"/>
      <c r="B6" s="63"/>
      <c r="C6" s="66"/>
      <c r="D6" s="69"/>
      <c r="E6" s="72"/>
      <c r="F6" s="72"/>
      <c r="G6" s="4" t="s">
        <v>127</v>
      </c>
      <c r="H6" s="13">
        <v>159.21</v>
      </c>
      <c r="I6" s="29" t="str">
        <f t="shared" si="0"/>
        <v>N/A</v>
      </c>
    </row>
    <row r="7" spans="1:9">
      <c r="A7" s="61"/>
      <c r="B7" s="63"/>
      <c r="C7" s="66"/>
      <c r="D7" s="69"/>
      <c r="E7" s="72"/>
      <c r="F7" s="72"/>
      <c r="G7" s="4" t="s">
        <v>125</v>
      </c>
      <c r="H7" s="13">
        <v>129</v>
      </c>
      <c r="I7" s="29" t="str">
        <f t="shared" si="0"/>
        <v>N/A</v>
      </c>
    </row>
    <row r="8" spans="1:9">
      <c r="A8" s="61"/>
      <c r="B8" s="63"/>
      <c r="C8" s="66"/>
      <c r="D8" s="69"/>
      <c r="E8" s="72"/>
      <c r="F8" s="72"/>
      <c r="G8" s="4" t="s">
        <v>121</v>
      </c>
      <c r="H8" s="13">
        <v>119.99</v>
      </c>
      <c r="I8" s="29" t="str">
        <f t="shared" si="0"/>
        <v>N/A</v>
      </c>
    </row>
    <row r="9" spans="1:9">
      <c r="A9" s="61"/>
      <c r="B9" s="63"/>
      <c r="C9" s="66"/>
      <c r="D9" s="69"/>
      <c r="E9" s="72"/>
      <c r="F9" s="72"/>
      <c r="G9" s="4" t="s">
        <v>128</v>
      </c>
      <c r="H9" s="13">
        <v>159.9</v>
      </c>
      <c r="I9" s="29" t="str">
        <f t="shared" si="0"/>
        <v>N/A</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23.562107897457508</v>
      </c>
      <c r="B20" s="19">
        <f>COUNT(H3:H17)</f>
        <v>7</v>
      </c>
      <c r="C20" s="20">
        <f>IF(B20&lt;2,"N/A",(A20/D20))</f>
        <v>0.16457433748311456</v>
      </c>
      <c r="D20" s="21">
        <f>ROUND(AVERAGE(H3:H17),2)</f>
        <v>143.16999999999999</v>
      </c>
      <c r="E20" s="22" t="str">
        <f>IFERROR(ROUND(IF(B20&lt;2,"N/A",(IF(C20&lt;=25%,"N/A",AVERAGE(I3:I17)))),2),"N/A")</f>
        <v>N/A</v>
      </c>
      <c r="F20" s="22">
        <f>ROUND(MEDIAN(H3:H17),2)</f>
        <v>159.21</v>
      </c>
      <c r="G20" s="23" t="str">
        <f>INDEX(G3:G17,MATCH(H20,H3:H17,0))</f>
        <v>CARREFOUR</v>
      </c>
      <c r="H20" s="24">
        <f>MIN(H3:H17)</f>
        <v>107.9</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143.16999999999999</v>
      </c>
    </row>
    <row r="23" spans="1:11">
      <c r="B23" s="32"/>
      <c r="C23" s="32"/>
      <c r="D23" s="57"/>
      <c r="E23" s="57"/>
      <c r="F23" s="36"/>
      <c r="G23" s="27" t="s">
        <v>9</v>
      </c>
      <c r="H23" s="28">
        <f>ROUND(H22,2)*D3</f>
        <v>21475.499999999996</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7" sqref="G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70</v>
      </c>
      <c r="B2" s="30" t="s">
        <v>24</v>
      </c>
      <c r="C2" s="30" t="s">
        <v>1</v>
      </c>
      <c r="D2" s="30" t="s">
        <v>2</v>
      </c>
      <c r="E2" s="14" t="s">
        <v>32</v>
      </c>
      <c r="F2" s="14" t="s">
        <v>33</v>
      </c>
      <c r="G2" s="30" t="s">
        <v>3</v>
      </c>
      <c r="H2" s="15" t="s">
        <v>4</v>
      </c>
      <c r="I2" s="16" t="s">
        <v>10</v>
      </c>
    </row>
    <row r="3" spans="1:9" ht="12.75" customHeight="1">
      <c r="A3" s="61"/>
      <c r="B3" s="62" t="s">
        <v>114</v>
      </c>
      <c r="C3" s="65" t="s">
        <v>8</v>
      </c>
      <c r="D3" s="68">
        <v>3</v>
      </c>
      <c r="E3" s="71">
        <f>IF(C20&lt;=25%,D20,MIN(E20:F20))</f>
        <v>2068.67</v>
      </c>
      <c r="F3" s="71">
        <f>MIN(H3:H17)</f>
        <v>1656</v>
      </c>
      <c r="G3" s="4" t="s">
        <v>163</v>
      </c>
      <c r="H3" s="13">
        <v>1800</v>
      </c>
      <c r="I3" s="29">
        <f>IF(H3="","",(IF($C$20&lt;25%,"N/A",IF(H3&lt;=($D$20+$A$20),H3,"Descartado"))))</f>
        <v>1800</v>
      </c>
    </row>
    <row r="4" spans="1:9">
      <c r="A4" s="61"/>
      <c r="B4" s="63"/>
      <c r="C4" s="66"/>
      <c r="D4" s="69"/>
      <c r="E4" s="72"/>
      <c r="F4" s="72"/>
      <c r="G4" s="4" t="s">
        <v>197</v>
      </c>
      <c r="H4" s="13">
        <v>3705</v>
      </c>
      <c r="I4" s="29" t="str">
        <f t="shared" ref="I4:I17" si="0">IF(H4="","",(IF($C$20&lt;25%,"N/A",IF(H4&lt;=($D$20+$A$20),H4,"Descartado"))))</f>
        <v>Descartado</v>
      </c>
    </row>
    <row r="5" spans="1:9">
      <c r="A5" s="61"/>
      <c r="B5" s="63"/>
      <c r="C5" s="66"/>
      <c r="D5" s="69"/>
      <c r="E5" s="72"/>
      <c r="F5" s="72"/>
      <c r="G5" s="4" t="s">
        <v>198</v>
      </c>
      <c r="H5" s="13">
        <v>1656</v>
      </c>
      <c r="I5" s="29">
        <f t="shared" si="0"/>
        <v>1656</v>
      </c>
    </row>
    <row r="6" spans="1:9">
      <c r="A6" s="61"/>
      <c r="B6" s="63"/>
      <c r="C6" s="66"/>
      <c r="D6" s="69"/>
      <c r="E6" s="72"/>
      <c r="F6" s="72"/>
      <c r="G6" s="4" t="s">
        <v>199</v>
      </c>
      <c r="H6" s="13">
        <v>2750</v>
      </c>
      <c r="I6" s="29">
        <f t="shared" si="0"/>
        <v>2750</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951.29398715644152</v>
      </c>
      <c r="B20" s="19">
        <f>COUNT(H3:H17)</f>
        <v>4</v>
      </c>
      <c r="C20" s="20">
        <f>IF(B20&lt;2,"N/A",(A20/D20))</f>
        <v>0.38393461291754272</v>
      </c>
      <c r="D20" s="21">
        <f>ROUND(AVERAGE(H3:H17),2)</f>
        <v>2477.75</v>
      </c>
      <c r="E20" s="22">
        <f>IFERROR(ROUND(IF(B20&lt;2,"N/A",(IF(C20&lt;=25%,"N/A",AVERAGE(I3:I17)))),2),"N/A")</f>
        <v>2068.67</v>
      </c>
      <c r="F20" s="22">
        <f>ROUND(MEDIAN(H3:H17),2)</f>
        <v>2275</v>
      </c>
      <c r="G20" s="23" t="str">
        <f>INDEX(G3:G17,MATCH(H20,H3:H17,0))</f>
        <v>WEBCONTINENTAL</v>
      </c>
      <c r="H20" s="24">
        <f>MIN(H3:H17)</f>
        <v>1656</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2068.67</v>
      </c>
    </row>
    <row r="23" spans="1:11">
      <c r="B23" s="32"/>
      <c r="C23" s="32"/>
      <c r="D23" s="57"/>
      <c r="E23" s="57"/>
      <c r="F23" s="36"/>
      <c r="G23" s="27" t="s">
        <v>9</v>
      </c>
      <c r="H23" s="28">
        <f>ROUND(H22,2)*D3</f>
        <v>6206.01</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C3" sqref="C3:C1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71</v>
      </c>
      <c r="B2" s="30" t="s">
        <v>24</v>
      </c>
      <c r="C2" s="30" t="s">
        <v>1</v>
      </c>
      <c r="D2" s="30" t="s">
        <v>2</v>
      </c>
      <c r="E2" s="14" t="s">
        <v>32</v>
      </c>
      <c r="F2" s="14" t="s">
        <v>33</v>
      </c>
      <c r="G2" s="30" t="s">
        <v>3</v>
      </c>
      <c r="H2" s="15" t="s">
        <v>4</v>
      </c>
      <c r="I2" s="16" t="s">
        <v>10</v>
      </c>
    </row>
    <row r="3" spans="1:9" ht="12.75" customHeight="1">
      <c r="A3" s="61"/>
      <c r="B3" s="62" t="s">
        <v>200</v>
      </c>
      <c r="C3" s="65" t="s">
        <v>8</v>
      </c>
      <c r="D3" s="68">
        <v>6</v>
      </c>
      <c r="E3" s="71">
        <f>IF(C20&lt;=25%,D20,MIN(E20:F20))</f>
        <v>515.37</v>
      </c>
      <c r="F3" s="71">
        <f>MIN(H3:H17)</f>
        <v>352.87</v>
      </c>
      <c r="G3" s="4" t="s">
        <v>118</v>
      </c>
      <c r="H3" s="13">
        <v>352.87</v>
      </c>
      <c r="I3" s="29" t="str">
        <f>IF(H3="","",(IF($C$20&lt;25%,"N/A",IF(H3&lt;=($D$20+$A$20),H3,"Descartado"))))</f>
        <v>N/A</v>
      </c>
    </row>
    <row r="4" spans="1:9">
      <c r="A4" s="61"/>
      <c r="B4" s="63"/>
      <c r="C4" s="66"/>
      <c r="D4" s="69"/>
      <c r="E4" s="72"/>
      <c r="F4" s="72"/>
      <c r="G4" s="4" t="s">
        <v>121</v>
      </c>
      <c r="H4" s="13">
        <v>499.99</v>
      </c>
      <c r="I4" s="29" t="str">
        <f t="shared" ref="I4:I17" si="0">IF(H4="","",(IF($C$20&lt;25%,"N/A",IF(H4&lt;=($D$20+$A$20),H4,"Descartado"))))</f>
        <v>N/A</v>
      </c>
    </row>
    <row r="5" spans="1:9">
      <c r="A5" s="61"/>
      <c r="B5" s="63"/>
      <c r="C5" s="66"/>
      <c r="D5" s="69"/>
      <c r="E5" s="72"/>
      <c r="F5" s="72"/>
      <c r="G5" s="4" t="s">
        <v>175</v>
      </c>
      <c r="H5" s="13">
        <v>506.84</v>
      </c>
      <c r="I5" s="29" t="str">
        <f t="shared" si="0"/>
        <v>N/A</v>
      </c>
    </row>
    <row r="6" spans="1:9">
      <c r="A6" s="61"/>
      <c r="B6" s="63"/>
      <c r="C6" s="66"/>
      <c r="D6" s="69"/>
      <c r="E6" s="72"/>
      <c r="F6" s="72"/>
      <c r="G6" s="4" t="s">
        <v>176</v>
      </c>
      <c r="H6" s="13">
        <v>607.16999999999996</v>
      </c>
      <c r="I6" s="29" t="str">
        <f t="shared" si="0"/>
        <v>N/A</v>
      </c>
    </row>
    <row r="7" spans="1:9">
      <c r="A7" s="61"/>
      <c r="B7" s="63"/>
      <c r="C7" s="66"/>
      <c r="D7" s="69"/>
      <c r="E7" s="72"/>
      <c r="F7" s="72"/>
      <c r="G7" s="4" t="s">
        <v>177</v>
      </c>
      <c r="H7" s="13">
        <v>578.54999999999995</v>
      </c>
      <c r="I7" s="29" t="str">
        <f t="shared" si="0"/>
        <v>N/A</v>
      </c>
    </row>
    <row r="8" spans="1:9">
      <c r="A8" s="61"/>
      <c r="B8" s="63"/>
      <c r="C8" s="66"/>
      <c r="D8" s="69"/>
      <c r="E8" s="72"/>
      <c r="F8" s="72"/>
      <c r="G8" s="4" t="s">
        <v>178</v>
      </c>
      <c r="H8" s="13">
        <v>546.79999999999995</v>
      </c>
      <c r="I8" s="29" t="str">
        <f t="shared" si="0"/>
        <v>N/A</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89.579409017920668</v>
      </c>
      <c r="B20" s="19">
        <f>COUNT(H3:H17)</f>
        <v>6</v>
      </c>
      <c r="C20" s="20">
        <f>IF(B20&lt;2,"N/A",(A20/D20))</f>
        <v>0.17381572271944556</v>
      </c>
      <c r="D20" s="21">
        <f>ROUND(AVERAGE(H3:H17),2)</f>
        <v>515.37</v>
      </c>
      <c r="E20" s="22" t="str">
        <f>IFERROR(ROUND(IF(B20&lt;2,"N/A",(IF(C20&lt;=25%,"N/A",AVERAGE(I3:I17)))),2),"N/A")</f>
        <v>N/A</v>
      </c>
      <c r="F20" s="22">
        <f>ROUND(MEDIAN(H3:H17),2)</f>
        <v>526.82000000000005</v>
      </c>
      <c r="G20" s="23" t="str">
        <f>INDEX(G3:G17,MATCH(H20,H3:H17,0))</f>
        <v>AMERICANAS</v>
      </c>
      <c r="H20" s="24">
        <f>MIN(H3:H17)</f>
        <v>352.87</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515.37</v>
      </c>
    </row>
    <row r="23" spans="1:11">
      <c r="B23" s="32"/>
      <c r="C23" s="32"/>
      <c r="D23" s="57"/>
      <c r="E23" s="57"/>
      <c r="F23" s="36"/>
      <c r="G23" s="27" t="s">
        <v>9</v>
      </c>
      <c r="H23" s="28">
        <f>ROUND(H22,2)*D3</f>
        <v>3092.2200000000003</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3" sqref="G3:G5"/>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72</v>
      </c>
      <c r="B2" s="30" t="s">
        <v>24</v>
      </c>
      <c r="C2" s="30" t="s">
        <v>1</v>
      </c>
      <c r="D2" s="30" t="s">
        <v>2</v>
      </c>
      <c r="E2" s="14" t="s">
        <v>32</v>
      </c>
      <c r="F2" s="14" t="s">
        <v>33</v>
      </c>
      <c r="G2" s="30" t="s">
        <v>3</v>
      </c>
      <c r="H2" s="15" t="s">
        <v>4</v>
      </c>
      <c r="I2" s="16" t="s">
        <v>10</v>
      </c>
    </row>
    <row r="3" spans="1:9" ht="12.75" customHeight="1">
      <c r="A3" s="61"/>
      <c r="B3" s="62" t="s">
        <v>115</v>
      </c>
      <c r="C3" s="65" t="s">
        <v>8</v>
      </c>
      <c r="D3" s="68">
        <v>50</v>
      </c>
      <c r="E3" s="71">
        <f>IF(C20&lt;=25%,D20,MIN(E20:F20))</f>
        <v>612.59</v>
      </c>
      <c r="F3" s="71">
        <f>MIN(H3:H17)</f>
        <v>595.19000000000005</v>
      </c>
      <c r="G3" s="4" t="s">
        <v>137</v>
      </c>
      <c r="H3" s="13">
        <v>629.99</v>
      </c>
      <c r="I3" s="29">
        <f>IF(H3="","",(IF($C$20&lt;25%,"N/A",IF(H3&lt;=($D$20+$A$20),H3,"Descartado"))))</f>
        <v>629.99</v>
      </c>
    </row>
    <row r="4" spans="1:9">
      <c r="A4" s="61"/>
      <c r="B4" s="63"/>
      <c r="C4" s="66"/>
      <c r="D4" s="69"/>
      <c r="E4" s="72"/>
      <c r="F4" s="72"/>
      <c r="G4" s="4" t="s">
        <v>201</v>
      </c>
      <c r="H4" s="13">
        <v>934</v>
      </c>
      <c r="I4" s="29" t="str">
        <f t="shared" ref="I4:I17" si="0">IF(H4="","",(IF($C$20&lt;25%,"N/A",IF(H4&lt;=($D$20+$A$20),H4,"Descartado"))))</f>
        <v>Descartado</v>
      </c>
    </row>
    <row r="5" spans="1:9">
      <c r="A5" s="61"/>
      <c r="B5" s="63"/>
      <c r="C5" s="66"/>
      <c r="D5" s="69"/>
      <c r="E5" s="72"/>
      <c r="F5" s="72"/>
      <c r="G5" s="4" t="s">
        <v>202</v>
      </c>
      <c r="H5" s="13">
        <v>595.19000000000005</v>
      </c>
      <c r="I5" s="29">
        <f t="shared" si="0"/>
        <v>595.19000000000005</v>
      </c>
    </row>
    <row r="6" spans="1:9">
      <c r="A6" s="61"/>
      <c r="B6" s="63"/>
      <c r="C6" s="66"/>
      <c r="D6" s="69"/>
      <c r="E6" s="72"/>
      <c r="F6" s="72"/>
      <c r="G6" s="4"/>
      <c r="H6" s="13"/>
      <c r="I6" s="29" t="str">
        <f t="shared" si="0"/>
        <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186.380138516241</v>
      </c>
      <c r="B20" s="19">
        <f>COUNT(H3:H17)</f>
        <v>3</v>
      </c>
      <c r="C20" s="20">
        <f>IF(B20&lt;2,"N/A",(A20/D20))</f>
        <v>0.25895841289961652</v>
      </c>
      <c r="D20" s="21">
        <f>ROUND(AVERAGE(H3:H17),2)</f>
        <v>719.73</v>
      </c>
      <c r="E20" s="22">
        <f>IFERROR(ROUND(IF(B20&lt;2,"N/A",(IF(C20&lt;=25%,"N/A",AVERAGE(I3:I17)))),2),"N/A")</f>
        <v>612.59</v>
      </c>
      <c r="F20" s="22">
        <f>ROUND(MEDIAN(H3:H17),2)</f>
        <v>629.99</v>
      </c>
      <c r="G20" s="23" t="str">
        <f>INDEX(G3:G17,MATCH(H20,H3:H17,0))</f>
        <v>LOJAS UNILAR</v>
      </c>
      <c r="H20" s="24">
        <f>MIN(H3:H17)</f>
        <v>595.19000000000005</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612.59</v>
      </c>
    </row>
    <row r="23" spans="1:11">
      <c r="B23" s="32"/>
      <c r="C23" s="32"/>
      <c r="D23" s="57"/>
      <c r="E23" s="57"/>
      <c r="F23" s="36"/>
      <c r="G23" s="27" t="s">
        <v>9</v>
      </c>
      <c r="H23" s="28">
        <f>ROUND(H22,2)*D3</f>
        <v>30629.5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6" sqref="H6"/>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73</v>
      </c>
      <c r="B2" s="30" t="s">
        <v>24</v>
      </c>
      <c r="C2" s="30" t="s">
        <v>1</v>
      </c>
      <c r="D2" s="30" t="s">
        <v>2</v>
      </c>
      <c r="E2" s="14" t="s">
        <v>32</v>
      </c>
      <c r="F2" s="14" t="s">
        <v>33</v>
      </c>
      <c r="G2" s="30" t="s">
        <v>3</v>
      </c>
      <c r="H2" s="15" t="s">
        <v>4</v>
      </c>
      <c r="I2" s="16" t="s">
        <v>10</v>
      </c>
    </row>
    <row r="3" spans="1:9" ht="12.75" customHeight="1">
      <c r="A3" s="61"/>
      <c r="B3" s="62" t="s">
        <v>116</v>
      </c>
      <c r="C3" s="65" t="s">
        <v>8</v>
      </c>
      <c r="D3" s="68">
        <v>100</v>
      </c>
      <c r="E3" s="71">
        <f>IF(C20&lt;=25%,D20,MIN(E20:F20))</f>
        <v>547.1</v>
      </c>
      <c r="F3" s="71">
        <f>MIN(H3:H17)</f>
        <v>499</v>
      </c>
      <c r="G3" s="4" t="s">
        <v>137</v>
      </c>
      <c r="H3" s="13">
        <v>499</v>
      </c>
      <c r="I3" s="29">
        <f>IF(H3="","",(IF($C$20&lt;25%,"N/A",IF(H3&lt;=($D$20+$A$20),H3,"Descartado"))))</f>
        <v>499</v>
      </c>
    </row>
    <row r="4" spans="1:9">
      <c r="A4" s="61"/>
      <c r="B4" s="63"/>
      <c r="C4" s="66"/>
      <c r="D4" s="69"/>
      <c r="E4" s="72"/>
      <c r="F4" s="72"/>
      <c r="G4" s="4" t="s">
        <v>201</v>
      </c>
      <c r="H4" s="13">
        <v>934</v>
      </c>
      <c r="I4" s="29" t="str">
        <f t="shared" ref="I4:I17" si="0">IF(H4="","",(IF($C$20&lt;25%,"N/A",IF(H4&lt;=($D$20+$A$20),H4,"Descartado"))))</f>
        <v>Descartado</v>
      </c>
    </row>
    <row r="5" spans="1:9">
      <c r="A5" s="61"/>
      <c r="B5" s="63"/>
      <c r="C5" s="66"/>
      <c r="D5" s="69"/>
      <c r="E5" s="72"/>
      <c r="F5" s="72"/>
      <c r="G5" s="4" t="s">
        <v>202</v>
      </c>
      <c r="H5" s="13">
        <v>595.19000000000005</v>
      </c>
      <c r="I5" s="29">
        <f t="shared" si="0"/>
        <v>595.19000000000005</v>
      </c>
    </row>
    <row r="6" spans="1:9">
      <c r="A6" s="61"/>
      <c r="B6" s="63"/>
      <c r="C6" s="66"/>
      <c r="D6" s="69"/>
      <c r="E6" s="72"/>
      <c r="F6" s="72"/>
      <c r="G6" s="4"/>
      <c r="H6" s="13"/>
      <c r="I6" s="29" t="str">
        <f t="shared" si="0"/>
        <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228.4986258893766</v>
      </c>
      <c r="B20" s="19">
        <f>COUNT(H3:H17)</f>
        <v>3</v>
      </c>
      <c r="C20" s="20">
        <f>IF(B20&lt;2,"N/A",(A20/D20))</f>
        <v>0.33798572003871935</v>
      </c>
      <c r="D20" s="21">
        <f>ROUND(AVERAGE(H3:H17),2)</f>
        <v>676.06</v>
      </c>
      <c r="E20" s="22">
        <f>IFERROR(ROUND(IF(B20&lt;2,"N/A",(IF(C20&lt;=25%,"N/A",AVERAGE(I3:I17)))),2),"N/A")</f>
        <v>547.1</v>
      </c>
      <c r="F20" s="22">
        <f>ROUND(MEDIAN(H3:H17),2)</f>
        <v>595.19000000000005</v>
      </c>
      <c r="G20" s="23" t="str">
        <f>INDEX(G3:G17,MATCH(H20,H3:H17,0))</f>
        <v>EXTRA</v>
      </c>
      <c r="H20" s="24">
        <f>MIN(H3:H17)</f>
        <v>499</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547.1</v>
      </c>
    </row>
    <row r="23" spans="1:11">
      <c r="B23" s="32"/>
      <c r="C23" s="32"/>
      <c r="D23" s="57"/>
      <c r="E23" s="57"/>
      <c r="F23" s="36"/>
      <c r="G23" s="27" t="s">
        <v>9</v>
      </c>
      <c r="H23" s="28">
        <f>ROUND(H22,2)*D3</f>
        <v>54710</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6" sqref="G6"/>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74</v>
      </c>
      <c r="B2" s="30" t="s">
        <v>24</v>
      </c>
      <c r="C2" s="30" t="s">
        <v>1</v>
      </c>
      <c r="D2" s="30" t="s">
        <v>2</v>
      </c>
      <c r="E2" s="14" t="s">
        <v>32</v>
      </c>
      <c r="F2" s="14" t="s">
        <v>33</v>
      </c>
      <c r="G2" s="30" t="s">
        <v>3</v>
      </c>
      <c r="H2" s="15" t="s">
        <v>4</v>
      </c>
      <c r="I2" s="16" t="s">
        <v>10</v>
      </c>
    </row>
    <row r="3" spans="1:9" ht="12.75" customHeight="1">
      <c r="A3" s="61"/>
      <c r="B3" s="62" t="s">
        <v>117</v>
      </c>
      <c r="C3" s="65" t="s">
        <v>8</v>
      </c>
      <c r="D3" s="68">
        <v>400</v>
      </c>
      <c r="E3" s="71">
        <f>IF(C20&lt;=25%,D20,MIN(E20:F20))</f>
        <v>59.73</v>
      </c>
      <c r="F3" s="71">
        <f>MIN(H3:H17)</f>
        <v>33.28</v>
      </c>
      <c r="G3" s="4" t="s">
        <v>203</v>
      </c>
      <c r="H3" s="13">
        <v>66.900000000000006</v>
      </c>
      <c r="I3" s="29">
        <f>IF(H3="","",(IF($C$20&lt;25%,"N/A",IF(H3&lt;=($D$20+$A$20),H3,"Descartado"))))</f>
        <v>66.900000000000006</v>
      </c>
    </row>
    <row r="4" spans="1:9">
      <c r="A4" s="61"/>
      <c r="B4" s="63"/>
      <c r="C4" s="66"/>
      <c r="D4" s="69"/>
      <c r="E4" s="72"/>
      <c r="F4" s="72"/>
      <c r="G4" s="4" t="s">
        <v>201</v>
      </c>
      <c r="H4" s="13">
        <v>79</v>
      </c>
      <c r="I4" s="29">
        <f t="shared" ref="I4:I17" si="0">IF(H4="","",(IF($C$20&lt;25%,"N/A",IF(H4&lt;=($D$20+$A$20),H4,"Descartado"))))</f>
        <v>79</v>
      </c>
    </row>
    <row r="5" spans="1:9">
      <c r="A5" s="61"/>
      <c r="B5" s="63"/>
      <c r="C5" s="66"/>
      <c r="D5" s="69"/>
      <c r="E5" s="72"/>
      <c r="F5" s="72"/>
      <c r="G5" s="4" t="s">
        <v>204</v>
      </c>
      <c r="H5" s="13">
        <v>33.28</v>
      </c>
      <c r="I5" s="29">
        <f t="shared" si="0"/>
        <v>33.28</v>
      </c>
    </row>
    <row r="6" spans="1:9">
      <c r="A6" s="61"/>
      <c r="B6" s="63"/>
      <c r="C6" s="66"/>
      <c r="D6" s="69"/>
      <c r="E6" s="72"/>
      <c r="F6" s="72"/>
      <c r="G6" s="4"/>
      <c r="H6" s="13"/>
      <c r="I6" s="29" t="str">
        <f t="shared" si="0"/>
        <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23.689072023473894</v>
      </c>
      <c r="B20" s="19">
        <f>COUNT(H3:H17)</f>
        <v>3</v>
      </c>
      <c r="C20" s="20">
        <f>IF(B20&lt;2,"N/A",(A20/D20))</f>
        <v>0.3966025786618767</v>
      </c>
      <c r="D20" s="21">
        <f>ROUND(AVERAGE(H3:H17),2)</f>
        <v>59.73</v>
      </c>
      <c r="E20" s="22">
        <f>IFERROR(ROUND(IF(B20&lt;2,"N/A",(IF(C20&lt;=25%,"N/A",AVERAGE(I3:I17)))),2),"N/A")</f>
        <v>59.73</v>
      </c>
      <c r="F20" s="22">
        <f>ROUND(MEDIAN(H3:H17),2)</f>
        <v>66.900000000000006</v>
      </c>
      <c r="G20" s="23" t="str">
        <f>INDEX(G3:G17,MATCH(H20,H3:H17,0))</f>
        <v>TOTAL FILTROS</v>
      </c>
      <c r="H20" s="24">
        <f>MIN(H3:H17)</f>
        <v>33.28</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59.73</v>
      </c>
    </row>
    <row r="23" spans="1:11">
      <c r="B23" s="32"/>
      <c r="C23" s="32"/>
      <c r="D23" s="57"/>
      <c r="E23" s="57"/>
      <c r="F23" s="36"/>
      <c r="G23" s="27" t="s">
        <v>9</v>
      </c>
      <c r="H23" s="28">
        <f>ROUND(H22,2)*D3</f>
        <v>23892</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75</v>
      </c>
      <c r="B2" s="30" t="s">
        <v>24</v>
      </c>
      <c r="C2" s="30" t="s">
        <v>1</v>
      </c>
      <c r="D2" s="30" t="s">
        <v>2</v>
      </c>
      <c r="E2" s="14" t="s">
        <v>32</v>
      </c>
      <c r="F2" s="14" t="s">
        <v>33</v>
      </c>
      <c r="G2" s="30" t="s">
        <v>3</v>
      </c>
      <c r="H2" s="15" t="s">
        <v>4</v>
      </c>
      <c r="I2" s="16" t="s">
        <v>10</v>
      </c>
    </row>
    <row r="3" spans="1:9" ht="12.75" customHeight="1">
      <c r="A3" s="61"/>
      <c r="B3" s="62" t="s">
        <v>133</v>
      </c>
      <c r="C3" s="65" t="s">
        <v>8</v>
      </c>
      <c r="D3" s="68">
        <f>500-Item5!D3</f>
        <v>375</v>
      </c>
      <c r="E3" s="71">
        <f>IF(C20&lt;=25%,D20,MIN(E20:F20))</f>
        <v>339.68</v>
      </c>
      <c r="F3" s="71">
        <f>MIN(H3:H17)</f>
        <v>283.89999999999998</v>
      </c>
      <c r="G3" s="4" t="s">
        <v>118</v>
      </c>
      <c r="H3" s="13">
        <v>331.55</v>
      </c>
      <c r="I3" s="29" t="str">
        <f>IF(H3="","",(IF($C$20&lt;25%,"N/A",IF(H3&lt;=($D$20+$A$20),H3,"Descartado"))))</f>
        <v>N/A</v>
      </c>
    </row>
    <row r="4" spans="1:9">
      <c r="A4" s="61"/>
      <c r="B4" s="63"/>
      <c r="C4" s="66"/>
      <c r="D4" s="69"/>
      <c r="E4" s="72"/>
      <c r="F4" s="72"/>
      <c r="G4" s="4" t="s">
        <v>120</v>
      </c>
      <c r="H4" s="13">
        <v>398.88</v>
      </c>
      <c r="I4" s="29" t="str">
        <f t="shared" ref="I4:I17" si="0">IF(H4="","",(IF($C$20&lt;25%,"N/A",IF(H4&lt;=($D$20+$A$20),H4,"Descartado"))))</f>
        <v>N/A</v>
      </c>
    </row>
    <row r="5" spans="1:9">
      <c r="A5" s="61"/>
      <c r="B5" s="63"/>
      <c r="C5" s="66"/>
      <c r="D5" s="69"/>
      <c r="E5" s="72"/>
      <c r="F5" s="72"/>
      <c r="G5" s="4" t="s">
        <v>134</v>
      </c>
      <c r="H5" s="13">
        <v>287</v>
      </c>
      <c r="I5" s="29" t="str">
        <f t="shared" si="0"/>
        <v>N/A</v>
      </c>
    </row>
    <row r="6" spans="1:9">
      <c r="A6" s="61"/>
      <c r="B6" s="63"/>
      <c r="C6" s="66"/>
      <c r="D6" s="69"/>
      <c r="E6" s="72"/>
      <c r="F6" s="72"/>
      <c r="G6" s="4" t="s">
        <v>135</v>
      </c>
      <c r="H6" s="13">
        <v>283.89999999999998</v>
      </c>
      <c r="I6" s="29" t="str">
        <f t="shared" si="0"/>
        <v>N/A</v>
      </c>
    </row>
    <row r="7" spans="1:9">
      <c r="A7" s="61"/>
      <c r="B7" s="63"/>
      <c r="C7" s="66"/>
      <c r="D7" s="69"/>
      <c r="E7" s="72"/>
      <c r="F7" s="72"/>
      <c r="G7" s="4" t="s">
        <v>132</v>
      </c>
      <c r="H7" s="13">
        <v>318.92</v>
      </c>
      <c r="I7" s="29" t="str">
        <f t="shared" si="0"/>
        <v>N/A</v>
      </c>
    </row>
    <row r="8" spans="1:9">
      <c r="A8" s="61"/>
      <c r="B8" s="63"/>
      <c r="C8" s="66"/>
      <c r="D8" s="69"/>
      <c r="E8" s="72"/>
      <c r="F8" s="72"/>
      <c r="G8" s="4" t="s">
        <v>121</v>
      </c>
      <c r="H8" s="13">
        <v>329.77</v>
      </c>
      <c r="I8" s="29" t="str">
        <f t="shared" si="0"/>
        <v>N/A</v>
      </c>
    </row>
    <row r="9" spans="1:9">
      <c r="A9" s="61"/>
      <c r="B9" s="63"/>
      <c r="C9" s="66"/>
      <c r="D9" s="69"/>
      <c r="E9" s="72"/>
      <c r="F9" s="72"/>
      <c r="G9" s="4" t="s">
        <v>136</v>
      </c>
      <c r="H9" s="13">
        <v>427.72</v>
      </c>
      <c r="I9" s="29" t="str">
        <f t="shared" si="0"/>
        <v>N/A</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54.371492136439414</v>
      </c>
      <c r="B20" s="19">
        <f>COUNT(H3:H17)</f>
        <v>7</v>
      </c>
      <c r="C20" s="20">
        <f>IF(B20&lt;2,"N/A",(A20/D20))</f>
        <v>0.16006680445254184</v>
      </c>
      <c r="D20" s="21">
        <f>ROUND(AVERAGE(H3:H17),2)</f>
        <v>339.68</v>
      </c>
      <c r="E20" s="22" t="str">
        <f>IFERROR(ROUND(IF(B20&lt;2,"N/A",(IF(C20&lt;=25%,"N/A",AVERAGE(I3:I17)))),2),"N/A")</f>
        <v>N/A</v>
      </c>
      <c r="F20" s="22">
        <f>ROUND(MEDIAN(H3:H17),2)</f>
        <v>329.77</v>
      </c>
      <c r="G20" s="23" t="str">
        <f>INDEX(G3:G17,MATCH(H20,H3:H17,0))</f>
        <v>OCEANO B2B</v>
      </c>
      <c r="H20" s="24">
        <f>MIN(H3:H17)</f>
        <v>283.89999999999998</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339.68</v>
      </c>
    </row>
    <row r="23" spans="1:11">
      <c r="B23" s="32"/>
      <c r="C23" s="32"/>
      <c r="D23" s="57"/>
      <c r="E23" s="57"/>
      <c r="F23" s="36"/>
      <c r="G23" s="27" t="s">
        <v>9</v>
      </c>
      <c r="H23" s="28">
        <f>ROUND(H22,2)*D3</f>
        <v>127380</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76</v>
      </c>
      <c r="B2" s="30" t="s">
        <v>24</v>
      </c>
      <c r="C2" s="30" t="s">
        <v>1</v>
      </c>
      <c r="D2" s="30" t="s">
        <v>2</v>
      </c>
      <c r="E2" s="14" t="s">
        <v>32</v>
      </c>
      <c r="F2" s="14" t="s">
        <v>33</v>
      </c>
      <c r="G2" s="30" t="s">
        <v>3</v>
      </c>
      <c r="H2" s="15" t="s">
        <v>4</v>
      </c>
      <c r="I2" s="16" t="s">
        <v>10</v>
      </c>
    </row>
    <row r="3" spans="1:9" ht="12.75" customHeight="1">
      <c r="A3" s="61"/>
      <c r="B3" s="62" t="s">
        <v>98</v>
      </c>
      <c r="C3" s="65" t="s">
        <v>8</v>
      </c>
      <c r="D3" s="68">
        <f>60-Item11!D3</f>
        <v>45</v>
      </c>
      <c r="E3" s="71">
        <f>IF(C20&lt;=25%,D20,MIN(E20:F20))</f>
        <v>1335.5</v>
      </c>
      <c r="F3" s="71">
        <f>MIN(H3:H17)</f>
        <v>1139.05</v>
      </c>
      <c r="G3" s="4" t="s">
        <v>118</v>
      </c>
      <c r="H3" s="13">
        <v>1593.58</v>
      </c>
      <c r="I3" s="29" t="str">
        <f>IF(H3="","",(IF($C$20&lt;25%,"N/A",IF(H3&lt;=($D$20+$A$20),H3,"Descartado"))))</f>
        <v>N/A</v>
      </c>
    </row>
    <row r="4" spans="1:9">
      <c r="A4" s="61"/>
      <c r="B4" s="63"/>
      <c r="C4" s="66"/>
      <c r="D4" s="69"/>
      <c r="E4" s="72"/>
      <c r="F4" s="72"/>
      <c r="G4" s="4" t="s">
        <v>119</v>
      </c>
      <c r="H4" s="13">
        <v>1299</v>
      </c>
      <c r="I4" s="29" t="str">
        <f t="shared" ref="I4:I17" si="0">IF(H4="","",(IF($C$20&lt;25%,"N/A",IF(H4&lt;=($D$20+$A$20),H4,"Descartado"))))</f>
        <v>N/A</v>
      </c>
    </row>
    <row r="5" spans="1:9">
      <c r="A5" s="61"/>
      <c r="B5" s="63"/>
      <c r="C5" s="66"/>
      <c r="D5" s="69"/>
      <c r="E5" s="72"/>
      <c r="F5" s="72"/>
      <c r="G5" s="4" t="s">
        <v>120</v>
      </c>
      <c r="H5" s="13">
        <v>1489</v>
      </c>
      <c r="I5" s="29" t="str">
        <f t="shared" si="0"/>
        <v>N/A</v>
      </c>
    </row>
    <row r="6" spans="1:9">
      <c r="A6" s="61"/>
      <c r="B6" s="63"/>
      <c r="C6" s="66"/>
      <c r="D6" s="69"/>
      <c r="E6" s="72"/>
      <c r="F6" s="72"/>
      <c r="G6" s="4" t="s">
        <v>144</v>
      </c>
      <c r="H6" s="13">
        <v>1139.05</v>
      </c>
      <c r="I6" s="29" t="str">
        <f t="shared" si="0"/>
        <v>N/A</v>
      </c>
    </row>
    <row r="7" spans="1:9">
      <c r="A7" s="61"/>
      <c r="B7" s="63"/>
      <c r="C7" s="66"/>
      <c r="D7" s="69"/>
      <c r="E7" s="72"/>
      <c r="F7" s="72"/>
      <c r="G7" s="4" t="s">
        <v>125</v>
      </c>
      <c r="H7" s="13">
        <v>1234.9100000000001</v>
      </c>
      <c r="I7" s="29" t="str">
        <f t="shared" si="0"/>
        <v>N/A</v>
      </c>
    </row>
    <row r="8" spans="1:9">
      <c r="A8" s="61"/>
      <c r="B8" s="63"/>
      <c r="C8" s="66"/>
      <c r="D8" s="69"/>
      <c r="E8" s="72"/>
      <c r="F8" s="72"/>
      <c r="G8" s="4" t="s">
        <v>121</v>
      </c>
      <c r="H8" s="13">
        <v>1239.52</v>
      </c>
      <c r="I8" s="29" t="str">
        <f t="shared" si="0"/>
        <v>N/A</v>
      </c>
    </row>
    <row r="9" spans="1:9">
      <c r="A9" s="61"/>
      <c r="B9" s="63"/>
      <c r="C9" s="66"/>
      <c r="D9" s="69"/>
      <c r="E9" s="72"/>
      <c r="F9" s="72"/>
      <c r="G9" s="4" t="s">
        <v>146</v>
      </c>
      <c r="H9" s="13">
        <v>1199.9000000000001</v>
      </c>
      <c r="I9" s="29" t="str">
        <f t="shared" si="0"/>
        <v>N/A</v>
      </c>
    </row>
    <row r="10" spans="1:9">
      <c r="A10" s="61"/>
      <c r="B10" s="63"/>
      <c r="C10" s="66"/>
      <c r="D10" s="69"/>
      <c r="E10" s="72"/>
      <c r="F10" s="72"/>
      <c r="G10" s="4" t="s">
        <v>128</v>
      </c>
      <c r="H10" s="13">
        <v>1489</v>
      </c>
      <c r="I10" s="29" t="str">
        <f t="shared" si="0"/>
        <v>N/A</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165.34488077953947</v>
      </c>
      <c r="B20" s="19">
        <f>COUNT(H3:H17)</f>
        <v>8</v>
      </c>
      <c r="C20" s="20">
        <f>IF(B20&lt;2,"N/A",(A20/D20))</f>
        <v>0.12380747344031409</v>
      </c>
      <c r="D20" s="21">
        <f>ROUND(AVERAGE(H3:H17),2)</f>
        <v>1335.5</v>
      </c>
      <c r="E20" s="22" t="str">
        <f>IFERROR(ROUND(IF(B20&lt;2,"N/A",(IF(C20&lt;=25%,"N/A",AVERAGE(I3:I17)))),2),"N/A")</f>
        <v>N/A</v>
      </c>
      <c r="F20" s="22">
        <f>ROUND(MEDIAN(H3:H17),2)</f>
        <v>1269.26</v>
      </c>
      <c r="G20" s="23" t="str">
        <f>INDEX(G3:G17,MATCH(H20,H3:H17,0))</f>
        <v>FERREIRA COSTA</v>
      </c>
      <c r="H20" s="24">
        <f>MIN(H3:H17)</f>
        <v>1139.05</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1335.5</v>
      </c>
    </row>
    <row r="23" spans="1:11">
      <c r="B23" s="32"/>
      <c r="C23" s="32"/>
      <c r="D23" s="57"/>
      <c r="E23" s="57"/>
      <c r="F23" s="36"/>
      <c r="G23" s="27" t="s">
        <v>9</v>
      </c>
      <c r="H23" s="28">
        <f>ROUND(H22,2)*D3</f>
        <v>60097.5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77</v>
      </c>
      <c r="B2" s="30" t="s">
        <v>24</v>
      </c>
      <c r="C2" s="30" t="s">
        <v>1</v>
      </c>
      <c r="D2" s="30" t="s">
        <v>2</v>
      </c>
      <c r="E2" s="14" t="s">
        <v>32</v>
      </c>
      <c r="F2" s="14" t="s">
        <v>33</v>
      </c>
      <c r="G2" s="30" t="s">
        <v>3</v>
      </c>
      <c r="H2" s="15" t="s">
        <v>4</v>
      </c>
      <c r="I2" s="16" t="s">
        <v>10</v>
      </c>
    </row>
    <row r="3" spans="1:9" ht="12.75" customHeight="1">
      <c r="A3" s="61"/>
      <c r="B3" s="62" t="s">
        <v>104</v>
      </c>
      <c r="C3" s="65" t="s">
        <v>8</v>
      </c>
      <c r="D3" s="68">
        <f>200-Item17!D3</f>
        <v>150</v>
      </c>
      <c r="E3" s="71">
        <f>IF(C20&lt;=25%,D20,MIN(E20:F20))</f>
        <v>626.12</v>
      </c>
      <c r="F3" s="71">
        <f>MIN(H3:H17)</f>
        <v>449.1</v>
      </c>
      <c r="G3" s="4" t="s">
        <v>184</v>
      </c>
      <c r="H3" s="13">
        <v>829.26</v>
      </c>
      <c r="I3" s="29">
        <f>IF(H3="","",(IF($C$20&lt;25%,"N/A",IF(H3&lt;=($D$20+$A$20),H3,"Descartado"))))</f>
        <v>829.26</v>
      </c>
    </row>
    <row r="4" spans="1:9">
      <c r="A4" s="61"/>
      <c r="B4" s="63"/>
      <c r="C4" s="66"/>
      <c r="D4" s="69"/>
      <c r="E4" s="72"/>
      <c r="F4" s="72"/>
      <c r="G4" s="4" t="s">
        <v>186</v>
      </c>
      <c r="H4" s="13">
        <v>449.1</v>
      </c>
      <c r="I4" s="29">
        <f t="shared" ref="I4:I17" si="0">IF(H4="","",(IF($C$20&lt;25%,"N/A",IF(H4&lt;=($D$20+$A$20),H4,"Descartado"))))</f>
        <v>449.1</v>
      </c>
    </row>
    <row r="5" spans="1:9">
      <c r="A5" s="61"/>
      <c r="B5" s="63"/>
      <c r="C5" s="66"/>
      <c r="D5" s="69"/>
      <c r="E5" s="72"/>
      <c r="F5" s="72"/>
      <c r="G5" s="4" t="s">
        <v>156</v>
      </c>
      <c r="H5" s="13">
        <v>600</v>
      </c>
      <c r="I5" s="29">
        <f t="shared" si="0"/>
        <v>600</v>
      </c>
    </row>
    <row r="6" spans="1:9">
      <c r="A6" s="61"/>
      <c r="B6" s="63"/>
      <c r="C6" s="66"/>
      <c r="D6" s="69"/>
      <c r="E6" s="72"/>
      <c r="F6" s="72"/>
      <c r="G6" s="4" t="s">
        <v>187</v>
      </c>
      <c r="H6" s="13">
        <v>923.4</v>
      </c>
      <c r="I6" s="29" t="str">
        <f t="shared" si="0"/>
        <v>Descartado</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215.68939334144341</v>
      </c>
      <c r="B20" s="19">
        <f>COUNT(H3:H17)</f>
        <v>4</v>
      </c>
      <c r="C20" s="20">
        <f>IF(B20&lt;2,"N/A",(A20/D20))</f>
        <v>0.30793414616732823</v>
      </c>
      <c r="D20" s="21">
        <f>ROUND(AVERAGE(H3:H17),2)</f>
        <v>700.44</v>
      </c>
      <c r="E20" s="22">
        <f>IFERROR(ROUND(IF(B20&lt;2,"N/A",(IF(C20&lt;=25%,"N/A",AVERAGE(I3:I17)))),2),"N/A")</f>
        <v>626.12</v>
      </c>
      <c r="F20" s="22">
        <f>ROUND(MEDIAN(H3:H17),2)</f>
        <v>714.63</v>
      </c>
      <c r="G20" s="23" t="str">
        <f>INDEX(G3:G17,MATCH(H20,H3:H17,0))</f>
        <v>ELETRO LUSTRES</v>
      </c>
      <c r="H20" s="24">
        <f>MIN(H3:H17)</f>
        <v>449.1</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626.12</v>
      </c>
    </row>
    <row r="23" spans="1:11">
      <c r="B23" s="32"/>
      <c r="C23" s="32"/>
      <c r="D23" s="57"/>
      <c r="E23" s="57"/>
      <c r="F23" s="36"/>
      <c r="G23" s="27" t="s">
        <v>9</v>
      </c>
      <c r="H23" s="28">
        <f>ROUND(H22,2)*D3</f>
        <v>93918</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3" sqref="G3:H10"/>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78</v>
      </c>
      <c r="B2" s="30" t="s">
        <v>24</v>
      </c>
      <c r="C2" s="30" t="s">
        <v>1</v>
      </c>
      <c r="D2" s="30" t="s">
        <v>2</v>
      </c>
      <c r="E2" s="14" t="s">
        <v>32</v>
      </c>
      <c r="F2" s="14" t="s">
        <v>33</v>
      </c>
      <c r="G2" s="30" t="s">
        <v>3</v>
      </c>
      <c r="H2" s="15" t="s">
        <v>4</v>
      </c>
      <c r="I2" s="16" t="s">
        <v>10</v>
      </c>
    </row>
    <row r="3" spans="1:9" ht="12.75" customHeight="1">
      <c r="A3" s="61"/>
      <c r="B3" s="62" t="s">
        <v>111</v>
      </c>
      <c r="C3" s="65" t="s">
        <v>8</v>
      </c>
      <c r="D3" s="68">
        <f>300-Item27!D3</f>
        <v>225</v>
      </c>
      <c r="E3" s="71">
        <f>IF(C20&lt;=25%,D20,MIN(E20:F20))</f>
        <v>403.18</v>
      </c>
      <c r="F3" s="71">
        <f>MIN(H3:H17)</f>
        <v>338.8</v>
      </c>
      <c r="G3" s="4" t="s">
        <v>125</v>
      </c>
      <c r="H3" s="13">
        <v>379</v>
      </c>
      <c r="I3" s="29">
        <f>IF(H3="","",(IF($C$20&lt;25%,"N/A",IF(H3&lt;=($D$20+$A$20),H3,"Descartado"))))</f>
        <v>379</v>
      </c>
    </row>
    <row r="4" spans="1:9">
      <c r="A4" s="61"/>
      <c r="B4" s="63"/>
      <c r="C4" s="66"/>
      <c r="D4" s="69"/>
      <c r="E4" s="72"/>
      <c r="F4" s="72"/>
      <c r="G4" s="4" t="s">
        <v>134</v>
      </c>
      <c r="H4" s="13">
        <v>338.8</v>
      </c>
      <c r="I4" s="29">
        <f t="shared" ref="I4:I17" si="0">IF(H4="","",(IF($C$20&lt;25%,"N/A",IF(H4&lt;=($D$20+$A$20),H4,"Descartado"))))</f>
        <v>338.8</v>
      </c>
    </row>
    <row r="5" spans="1:9">
      <c r="A5" s="61"/>
      <c r="B5" s="63"/>
      <c r="C5" s="66"/>
      <c r="D5" s="69"/>
      <c r="E5" s="72"/>
      <c r="F5" s="72"/>
      <c r="G5" s="4" t="s">
        <v>190</v>
      </c>
      <c r="H5" s="13">
        <v>640</v>
      </c>
      <c r="I5" s="29" t="str">
        <f t="shared" si="0"/>
        <v>Descartado</v>
      </c>
    </row>
    <row r="6" spans="1:9">
      <c r="A6" s="61"/>
      <c r="B6" s="63"/>
      <c r="C6" s="66"/>
      <c r="D6" s="69"/>
      <c r="E6" s="72"/>
      <c r="F6" s="72"/>
      <c r="G6" s="4" t="s">
        <v>191</v>
      </c>
      <c r="H6" s="13">
        <v>474.9</v>
      </c>
      <c r="I6" s="29">
        <f t="shared" si="0"/>
        <v>474.9</v>
      </c>
    </row>
    <row r="7" spans="1:9">
      <c r="A7" s="61"/>
      <c r="B7" s="63"/>
      <c r="C7" s="66"/>
      <c r="D7" s="69"/>
      <c r="E7" s="72"/>
      <c r="F7" s="72"/>
      <c r="G7" s="4" t="s">
        <v>192</v>
      </c>
      <c r="H7" s="13">
        <v>420</v>
      </c>
      <c r="I7" s="29">
        <f t="shared" si="0"/>
        <v>420</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117.28703253130766</v>
      </c>
      <c r="B20" s="19">
        <f>COUNT(H3:H17)</f>
        <v>5</v>
      </c>
      <c r="C20" s="20">
        <f>IF(B20&lt;2,"N/A",(A20/D20))</f>
        <v>0.26032545951815078</v>
      </c>
      <c r="D20" s="21">
        <f>ROUND(AVERAGE(H3:H17),2)</f>
        <v>450.54</v>
      </c>
      <c r="E20" s="22">
        <f>IFERROR(ROUND(IF(B20&lt;2,"N/A",(IF(C20&lt;=25%,"N/A",AVERAGE(I3:I17)))),2),"N/A")</f>
        <v>403.18</v>
      </c>
      <c r="F20" s="22">
        <f>ROUND(MEDIAN(H3:H17),2)</f>
        <v>420</v>
      </c>
      <c r="G20" s="23" t="str">
        <f>INDEX(G3:G17,MATCH(H20,H3:H17,0))</f>
        <v>LOJA MUNDI</v>
      </c>
      <c r="H20" s="24">
        <f>MIN(H3:H17)</f>
        <v>338.8</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403.18</v>
      </c>
    </row>
    <row r="23" spans="1:11">
      <c r="B23" s="32"/>
      <c r="C23" s="32"/>
      <c r="D23" s="57"/>
      <c r="E23" s="57"/>
      <c r="F23" s="36"/>
      <c r="G23" s="27" t="s">
        <v>9</v>
      </c>
      <c r="H23" s="28">
        <f>ROUND(H22,2)*D3</f>
        <v>90715.5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A18" sqref="A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79</v>
      </c>
      <c r="B2" s="30" t="s">
        <v>24</v>
      </c>
      <c r="C2" s="30" t="s">
        <v>1</v>
      </c>
      <c r="D2" s="30" t="s">
        <v>2</v>
      </c>
      <c r="E2" s="14" t="s">
        <v>32</v>
      </c>
      <c r="F2" s="14" t="s">
        <v>33</v>
      </c>
      <c r="G2" s="30" t="s">
        <v>3</v>
      </c>
      <c r="H2" s="15" t="s">
        <v>4</v>
      </c>
      <c r="I2" s="16" t="s">
        <v>10</v>
      </c>
    </row>
    <row r="3" spans="1:9" ht="12.75" customHeight="1">
      <c r="A3" s="61"/>
      <c r="B3" s="62" t="s">
        <v>113</v>
      </c>
      <c r="C3" s="65" t="s">
        <v>8</v>
      </c>
      <c r="D3" s="68">
        <f>3-Item29!D3</f>
        <v>0</v>
      </c>
      <c r="E3" s="71">
        <f>IF(C20&lt;=25%,D20,MIN(E20:F20))</f>
        <v>30796.38</v>
      </c>
      <c r="F3" s="71">
        <f>MIN(H3:H17)</f>
        <v>19590</v>
      </c>
      <c r="G3" s="4" t="s">
        <v>193</v>
      </c>
      <c r="H3" s="13">
        <v>29790</v>
      </c>
      <c r="I3" s="29">
        <f>IF(H3="","",(IF($C$20&lt;25%,"N/A",IF(H3&lt;=($D$20+$A$20),H3,"Descartado"))))</f>
        <v>29790</v>
      </c>
    </row>
    <row r="4" spans="1:9">
      <c r="A4" s="61"/>
      <c r="B4" s="63"/>
      <c r="C4" s="66"/>
      <c r="D4" s="69"/>
      <c r="E4" s="72"/>
      <c r="F4" s="72"/>
      <c r="G4" s="4" t="s">
        <v>194</v>
      </c>
      <c r="H4" s="13">
        <v>35815</v>
      </c>
      <c r="I4" s="29">
        <f t="shared" ref="I4:I17" si="0">IF(H4="","",(IF($C$20&lt;25%,"N/A",IF(H4&lt;=($D$20+$A$20),H4,"Descartado"))))</f>
        <v>35815</v>
      </c>
    </row>
    <row r="5" spans="1:9">
      <c r="A5" s="61"/>
      <c r="B5" s="63"/>
      <c r="C5" s="66"/>
      <c r="D5" s="69"/>
      <c r="E5" s="72"/>
      <c r="F5" s="72"/>
      <c r="G5" s="4" t="s">
        <v>195</v>
      </c>
      <c r="H5" s="13">
        <v>19590</v>
      </c>
      <c r="I5" s="29">
        <f t="shared" si="0"/>
        <v>19590</v>
      </c>
    </row>
    <row r="6" spans="1:9">
      <c r="A6" s="61"/>
      <c r="B6" s="63"/>
      <c r="C6" s="66"/>
      <c r="D6" s="69"/>
      <c r="E6" s="72"/>
      <c r="F6" s="72"/>
      <c r="G6" s="4" t="s">
        <v>196</v>
      </c>
      <c r="H6" s="13">
        <v>37990.5</v>
      </c>
      <c r="I6" s="29">
        <f t="shared" si="0"/>
        <v>37990.5</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8236.861511674213</v>
      </c>
      <c r="B20" s="19">
        <f>COUNT(H3:H17)</f>
        <v>4</v>
      </c>
      <c r="C20" s="20">
        <f>IF(B20&lt;2,"N/A",(A20/D20))</f>
        <v>0.26746200403015591</v>
      </c>
      <c r="D20" s="21">
        <f>ROUND(AVERAGE(H3:H17),2)</f>
        <v>30796.38</v>
      </c>
      <c r="E20" s="22">
        <f>IFERROR(ROUND(IF(B20&lt;2,"N/A",(IF(C20&lt;=25%,"N/A",AVERAGE(I3:I17)))),2),"N/A")</f>
        <v>30796.38</v>
      </c>
      <c r="F20" s="22">
        <f>ROUND(MEDIAN(H3:H17),2)</f>
        <v>32802.5</v>
      </c>
      <c r="G20" s="23" t="str">
        <f>INDEX(G3:G17,MATCH(H20,H3:H17,0))</f>
        <v>HT CLICK</v>
      </c>
      <c r="H20" s="24">
        <f>MIN(H3:H17)</f>
        <v>19590</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30796.38</v>
      </c>
    </row>
    <row r="23" spans="1:11">
      <c r="B23" s="32"/>
      <c r="C23" s="32"/>
      <c r="D23" s="57"/>
      <c r="E23" s="57"/>
      <c r="F23" s="36"/>
      <c r="G23" s="27" t="s">
        <v>9</v>
      </c>
      <c r="H23" s="28">
        <f>ROUND(H22,2)*D3</f>
        <v>0</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9" sqref="G9"/>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44</v>
      </c>
      <c r="B2" s="30" t="s">
        <v>24</v>
      </c>
      <c r="C2" s="30" t="s">
        <v>1</v>
      </c>
      <c r="D2" s="30" t="s">
        <v>2</v>
      </c>
      <c r="E2" s="14" t="s">
        <v>32</v>
      </c>
      <c r="F2" s="14" t="s">
        <v>33</v>
      </c>
      <c r="G2" s="30" t="s">
        <v>3</v>
      </c>
      <c r="H2" s="15" t="s">
        <v>4</v>
      </c>
      <c r="I2" s="16" t="s">
        <v>10</v>
      </c>
    </row>
    <row r="3" spans="1:9" ht="12.75" customHeight="1">
      <c r="A3" s="61"/>
      <c r="B3" s="62" t="s">
        <v>93</v>
      </c>
      <c r="C3" s="65" t="s">
        <v>8</v>
      </c>
      <c r="D3" s="68">
        <v>250</v>
      </c>
      <c r="E3" s="71">
        <f>IF(C20&lt;=25%,D20,MIN(E20:F20))</f>
        <v>43.97</v>
      </c>
      <c r="F3" s="71">
        <f>MIN(H3:H17)</f>
        <v>27.6</v>
      </c>
      <c r="G3" s="4" t="s">
        <v>119</v>
      </c>
      <c r="H3" s="13">
        <v>42.9</v>
      </c>
      <c r="I3" s="29" t="str">
        <f>IF(H3="","",(IF($C$20&lt;25%,"N/A",IF(H3&lt;=($D$20+$A$20),H3,"Descartado"))))</f>
        <v>N/A</v>
      </c>
    </row>
    <row r="4" spans="1:9">
      <c r="A4" s="61"/>
      <c r="B4" s="63"/>
      <c r="C4" s="66"/>
      <c r="D4" s="69"/>
      <c r="E4" s="72"/>
      <c r="F4" s="72"/>
      <c r="G4" s="4" t="s">
        <v>123</v>
      </c>
      <c r="H4" s="13">
        <v>44.9</v>
      </c>
      <c r="I4" s="29" t="str">
        <f t="shared" ref="I4:I17" si="0">IF(H4="","",(IF($C$20&lt;25%,"N/A",IF(H4&lt;=($D$20+$A$20),H4,"Descartado"))))</f>
        <v>N/A</v>
      </c>
    </row>
    <row r="5" spans="1:9">
      <c r="A5" s="61"/>
      <c r="B5" s="63"/>
      <c r="C5" s="66"/>
      <c r="D5" s="69"/>
      <c r="E5" s="72"/>
      <c r="F5" s="72"/>
      <c r="G5" s="4" t="s">
        <v>130</v>
      </c>
      <c r="H5" s="13">
        <v>49.95</v>
      </c>
      <c r="I5" s="29" t="str">
        <f t="shared" si="0"/>
        <v>N/A</v>
      </c>
    </row>
    <row r="6" spans="1:9">
      <c r="A6" s="61"/>
      <c r="B6" s="63"/>
      <c r="C6" s="66"/>
      <c r="D6" s="69"/>
      <c r="E6" s="72"/>
      <c r="F6" s="72"/>
      <c r="G6" s="4" t="s">
        <v>125</v>
      </c>
      <c r="H6" s="13">
        <v>44</v>
      </c>
      <c r="I6" s="29" t="str">
        <f t="shared" si="0"/>
        <v>N/A</v>
      </c>
    </row>
    <row r="7" spans="1:9">
      <c r="A7" s="61"/>
      <c r="B7" s="63"/>
      <c r="C7" s="66"/>
      <c r="D7" s="69"/>
      <c r="E7" s="72"/>
      <c r="F7" s="72"/>
      <c r="G7" s="4" t="s">
        <v>121</v>
      </c>
      <c r="H7" s="13">
        <v>54.49</v>
      </c>
      <c r="I7" s="29" t="str">
        <f t="shared" si="0"/>
        <v>N/A</v>
      </c>
    </row>
    <row r="8" spans="1:9">
      <c r="A8" s="61"/>
      <c r="B8" s="63"/>
      <c r="C8" s="66"/>
      <c r="D8" s="69"/>
      <c r="E8" s="72"/>
      <c r="F8" s="72"/>
      <c r="G8" s="4" t="s">
        <v>131</v>
      </c>
      <c r="H8" s="13">
        <v>27.6</v>
      </c>
      <c r="I8" s="29" t="str">
        <f t="shared" si="0"/>
        <v>N/A</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9.125988530930039</v>
      </c>
      <c r="B20" s="19">
        <f>COUNT(H3:H17)</f>
        <v>6</v>
      </c>
      <c r="C20" s="20">
        <f>IF(B20&lt;2,"N/A",(A20/D20))</f>
        <v>0.20755034184512255</v>
      </c>
      <c r="D20" s="21">
        <f>ROUND(AVERAGE(H3:H17),2)</f>
        <v>43.97</v>
      </c>
      <c r="E20" s="22" t="str">
        <f>IFERROR(ROUND(IF(B20&lt;2,"N/A",(IF(C20&lt;=25%,"N/A",AVERAGE(I3:I17)))),2),"N/A")</f>
        <v>N/A</v>
      </c>
      <c r="F20" s="22">
        <f>ROUND(MEDIAN(H3:H17),2)</f>
        <v>44.45</v>
      </c>
      <c r="G20" s="23" t="str">
        <f>INDEX(G3:G17,MATCH(H20,H3:H17,0))</f>
        <v>PLENA IMPORTS</v>
      </c>
      <c r="H20" s="24">
        <f>MIN(H3:H17)</f>
        <v>27.6</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43.97</v>
      </c>
    </row>
    <row r="23" spans="1:11">
      <c r="B23" s="32"/>
      <c r="C23" s="32"/>
      <c r="D23" s="57"/>
      <c r="E23" s="57"/>
      <c r="F23" s="36"/>
      <c r="G23" s="27" t="s">
        <v>9</v>
      </c>
      <c r="H23" s="28">
        <f>ROUND(H22,2)*D3</f>
        <v>10992.5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A18" sqref="A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80</v>
      </c>
      <c r="B2" s="30" t="s">
        <v>24</v>
      </c>
      <c r="C2" s="30" t="s">
        <v>1</v>
      </c>
      <c r="D2" s="30" t="s">
        <v>2</v>
      </c>
      <c r="E2" s="14" t="s">
        <v>32</v>
      </c>
      <c r="F2" s="14" t="s">
        <v>33</v>
      </c>
      <c r="G2" s="30" t="s">
        <v>3</v>
      </c>
      <c r="H2" s="15" t="s">
        <v>4</v>
      </c>
      <c r="I2" s="16" t="s">
        <v>10</v>
      </c>
    </row>
    <row r="3" spans="1:9" ht="12.75" customHeight="1">
      <c r="A3" s="61"/>
      <c r="B3" s="62" t="s">
        <v>39</v>
      </c>
      <c r="C3" s="65" t="s">
        <v>8</v>
      </c>
      <c r="D3" s="68">
        <v>10</v>
      </c>
      <c r="E3" s="71">
        <f>IF(C20&lt;=25%,D20,MIN(E20:F20))</f>
        <v>757.25</v>
      </c>
      <c r="F3" s="71">
        <f>MIN(H3:H17)</f>
        <v>697.5</v>
      </c>
      <c r="G3" s="4" t="s">
        <v>36</v>
      </c>
      <c r="H3" s="13">
        <v>697.5</v>
      </c>
      <c r="I3" s="29">
        <f>IF(H3="","",(IF($C$20&lt;25%,"N/A",IF(H3&lt;=($D$20+$A$20),H3,"Descartado"))))</f>
        <v>697.5</v>
      </c>
    </row>
    <row r="4" spans="1:9">
      <c r="A4" s="61"/>
      <c r="B4" s="63"/>
      <c r="C4" s="66"/>
      <c r="D4" s="69"/>
      <c r="E4" s="72"/>
      <c r="F4" s="72"/>
      <c r="G4" s="4" t="s">
        <v>37</v>
      </c>
      <c r="H4" s="13">
        <v>817</v>
      </c>
      <c r="I4" s="29">
        <f t="shared" ref="I4:I17" si="0">IF(H4="","",(IF($C$20&lt;25%,"N/A",IF(H4&lt;=($D$20+$A$20),H4,"Descartado"))))</f>
        <v>817</v>
      </c>
    </row>
    <row r="5" spans="1:9">
      <c r="A5" s="61"/>
      <c r="B5" s="63"/>
      <c r="C5" s="66"/>
      <c r="D5" s="69"/>
      <c r="E5" s="72"/>
      <c r="F5" s="72"/>
      <c r="G5" s="4" t="s">
        <v>38</v>
      </c>
      <c r="H5" s="13">
        <v>1125</v>
      </c>
      <c r="I5" s="29" t="str">
        <f t="shared" si="0"/>
        <v>Descartado</v>
      </c>
    </row>
    <row r="6" spans="1:9">
      <c r="A6" s="61"/>
      <c r="B6" s="63"/>
      <c r="C6" s="66"/>
      <c r="D6" s="69"/>
      <c r="E6" s="72"/>
      <c r="F6" s="72"/>
      <c r="G6" s="4"/>
      <c r="H6" s="13"/>
      <c r="I6" s="29" t="str">
        <f t="shared" si="0"/>
        <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757.25</v>
      </c>
    </row>
    <row r="23" spans="1:11">
      <c r="B23" s="32"/>
      <c r="C23" s="32"/>
      <c r="D23" s="57"/>
      <c r="E23" s="57"/>
      <c r="F23" s="36"/>
      <c r="G23" s="27" t="s">
        <v>9</v>
      </c>
      <c r="H23" s="28">
        <f>ROUND(H22,2)*D3</f>
        <v>7572.5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A18" sqref="A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81</v>
      </c>
      <c r="B2" s="30" t="s">
        <v>24</v>
      </c>
      <c r="C2" s="30" t="s">
        <v>1</v>
      </c>
      <c r="D2" s="30" t="s">
        <v>2</v>
      </c>
      <c r="E2" s="14" t="s">
        <v>32</v>
      </c>
      <c r="F2" s="14" t="s">
        <v>33</v>
      </c>
      <c r="G2" s="30" t="s">
        <v>3</v>
      </c>
      <c r="H2" s="15" t="s">
        <v>4</v>
      </c>
      <c r="I2" s="16" t="s">
        <v>10</v>
      </c>
    </row>
    <row r="3" spans="1:9" ht="12.75" customHeight="1">
      <c r="A3" s="61"/>
      <c r="B3" s="62" t="s">
        <v>39</v>
      </c>
      <c r="C3" s="65" t="s">
        <v>8</v>
      </c>
      <c r="D3" s="68">
        <v>10</v>
      </c>
      <c r="E3" s="71">
        <f>IF(C20&lt;=25%,D20,MIN(E20:F20))</f>
        <v>757.25</v>
      </c>
      <c r="F3" s="71">
        <f>MIN(H3:H17)</f>
        <v>697.5</v>
      </c>
      <c r="G3" s="4" t="s">
        <v>36</v>
      </c>
      <c r="H3" s="13">
        <v>697.5</v>
      </c>
      <c r="I3" s="29">
        <f>IF(H3="","",(IF($C$20&lt;25%,"N/A",IF(H3&lt;=($D$20+$A$20),H3,"Descartado"))))</f>
        <v>697.5</v>
      </c>
    </row>
    <row r="4" spans="1:9">
      <c r="A4" s="61"/>
      <c r="B4" s="63"/>
      <c r="C4" s="66"/>
      <c r="D4" s="69"/>
      <c r="E4" s="72"/>
      <c r="F4" s="72"/>
      <c r="G4" s="4" t="s">
        <v>37</v>
      </c>
      <c r="H4" s="13">
        <v>817</v>
      </c>
      <c r="I4" s="29">
        <f t="shared" ref="I4:I17" si="0">IF(H4="","",(IF($C$20&lt;25%,"N/A",IF(H4&lt;=($D$20+$A$20),H4,"Descartado"))))</f>
        <v>817</v>
      </c>
    </row>
    <row r="5" spans="1:9">
      <c r="A5" s="61"/>
      <c r="B5" s="63"/>
      <c r="C5" s="66"/>
      <c r="D5" s="69"/>
      <c r="E5" s="72"/>
      <c r="F5" s="72"/>
      <c r="G5" s="4" t="s">
        <v>38</v>
      </c>
      <c r="H5" s="13">
        <v>1125</v>
      </c>
      <c r="I5" s="29" t="str">
        <f t="shared" si="0"/>
        <v>Descartado</v>
      </c>
    </row>
    <row r="6" spans="1:9">
      <c r="A6" s="61"/>
      <c r="B6" s="63"/>
      <c r="C6" s="66"/>
      <c r="D6" s="69"/>
      <c r="E6" s="72"/>
      <c r="F6" s="72"/>
      <c r="G6" s="4"/>
      <c r="H6" s="13"/>
      <c r="I6" s="29" t="str">
        <f t="shared" si="0"/>
        <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757.25</v>
      </c>
    </row>
    <row r="23" spans="1:11">
      <c r="B23" s="32"/>
      <c r="C23" s="32"/>
      <c r="D23" s="57"/>
      <c r="E23" s="57"/>
      <c r="F23" s="36"/>
      <c r="G23" s="27" t="s">
        <v>9</v>
      </c>
      <c r="H23" s="28">
        <f>ROUND(H22,2)*D3</f>
        <v>7572.5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A18" sqref="A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82</v>
      </c>
      <c r="B2" s="30" t="s">
        <v>24</v>
      </c>
      <c r="C2" s="30" t="s">
        <v>1</v>
      </c>
      <c r="D2" s="30" t="s">
        <v>2</v>
      </c>
      <c r="E2" s="14" t="s">
        <v>32</v>
      </c>
      <c r="F2" s="14" t="s">
        <v>33</v>
      </c>
      <c r="G2" s="30" t="s">
        <v>3</v>
      </c>
      <c r="H2" s="15" t="s">
        <v>4</v>
      </c>
      <c r="I2" s="16" t="s">
        <v>10</v>
      </c>
    </row>
    <row r="3" spans="1:9" ht="12.75" customHeight="1">
      <c r="A3" s="61"/>
      <c r="B3" s="62" t="s">
        <v>39</v>
      </c>
      <c r="C3" s="65" t="s">
        <v>8</v>
      </c>
      <c r="D3" s="68">
        <v>10</v>
      </c>
      <c r="E3" s="71">
        <f>IF(C20&lt;=25%,D20,MIN(E20:F20))</f>
        <v>757.25</v>
      </c>
      <c r="F3" s="71">
        <f>MIN(H3:H17)</f>
        <v>697.5</v>
      </c>
      <c r="G3" s="4" t="s">
        <v>36</v>
      </c>
      <c r="H3" s="13">
        <v>697.5</v>
      </c>
      <c r="I3" s="29">
        <f>IF(H3="","",(IF($C$20&lt;25%,"N/A",IF(H3&lt;=($D$20+$A$20),H3,"Descartado"))))</f>
        <v>697.5</v>
      </c>
    </row>
    <row r="4" spans="1:9">
      <c r="A4" s="61"/>
      <c r="B4" s="63"/>
      <c r="C4" s="66"/>
      <c r="D4" s="69"/>
      <c r="E4" s="72"/>
      <c r="F4" s="72"/>
      <c r="G4" s="4" t="s">
        <v>37</v>
      </c>
      <c r="H4" s="13">
        <v>817</v>
      </c>
      <c r="I4" s="29">
        <f t="shared" ref="I4:I17" si="0">IF(H4="","",(IF($C$20&lt;25%,"N/A",IF(H4&lt;=($D$20+$A$20),H4,"Descartado"))))</f>
        <v>817</v>
      </c>
    </row>
    <row r="5" spans="1:9">
      <c r="A5" s="61"/>
      <c r="B5" s="63"/>
      <c r="C5" s="66"/>
      <c r="D5" s="69"/>
      <c r="E5" s="72"/>
      <c r="F5" s="72"/>
      <c r="G5" s="4" t="s">
        <v>38</v>
      </c>
      <c r="H5" s="13">
        <v>1125</v>
      </c>
      <c r="I5" s="29" t="str">
        <f t="shared" si="0"/>
        <v>Descartado</v>
      </c>
    </row>
    <row r="6" spans="1:9">
      <c r="A6" s="61"/>
      <c r="B6" s="63"/>
      <c r="C6" s="66"/>
      <c r="D6" s="69"/>
      <c r="E6" s="72"/>
      <c r="F6" s="72"/>
      <c r="G6" s="4"/>
      <c r="H6" s="13"/>
      <c r="I6" s="29" t="str">
        <f t="shared" si="0"/>
        <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757.25</v>
      </c>
    </row>
    <row r="23" spans="1:11">
      <c r="B23" s="32"/>
      <c r="C23" s="32"/>
      <c r="D23" s="57"/>
      <c r="E23" s="57"/>
      <c r="F23" s="36"/>
      <c r="G23" s="27" t="s">
        <v>9</v>
      </c>
      <c r="H23" s="28">
        <f>ROUND(H22,2)*D3</f>
        <v>7572.5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A18" sqref="A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83</v>
      </c>
      <c r="B2" s="30" t="s">
        <v>24</v>
      </c>
      <c r="C2" s="30" t="s">
        <v>1</v>
      </c>
      <c r="D2" s="30" t="s">
        <v>2</v>
      </c>
      <c r="E2" s="14" t="s">
        <v>32</v>
      </c>
      <c r="F2" s="14" t="s">
        <v>33</v>
      </c>
      <c r="G2" s="30" t="s">
        <v>3</v>
      </c>
      <c r="H2" s="15" t="s">
        <v>4</v>
      </c>
      <c r="I2" s="16" t="s">
        <v>10</v>
      </c>
    </row>
    <row r="3" spans="1:9" ht="12.75" customHeight="1">
      <c r="A3" s="61"/>
      <c r="B3" s="62" t="s">
        <v>39</v>
      </c>
      <c r="C3" s="65" t="s">
        <v>8</v>
      </c>
      <c r="D3" s="68">
        <v>10</v>
      </c>
      <c r="E3" s="71">
        <f>IF(C20&lt;=25%,D20,MIN(E20:F20))</f>
        <v>757.25</v>
      </c>
      <c r="F3" s="71">
        <f>MIN(H3:H17)</f>
        <v>697.5</v>
      </c>
      <c r="G3" s="4" t="s">
        <v>36</v>
      </c>
      <c r="H3" s="13">
        <v>697.5</v>
      </c>
      <c r="I3" s="29">
        <f>IF(H3="","",(IF($C$20&lt;25%,"N/A",IF(H3&lt;=($D$20+$A$20),H3,"Descartado"))))</f>
        <v>697.5</v>
      </c>
    </row>
    <row r="4" spans="1:9">
      <c r="A4" s="61"/>
      <c r="B4" s="63"/>
      <c r="C4" s="66"/>
      <c r="D4" s="69"/>
      <c r="E4" s="72"/>
      <c r="F4" s="72"/>
      <c r="G4" s="4" t="s">
        <v>37</v>
      </c>
      <c r="H4" s="13">
        <v>817</v>
      </c>
      <c r="I4" s="29">
        <f t="shared" ref="I4:I17" si="0">IF(H4="","",(IF($C$20&lt;25%,"N/A",IF(H4&lt;=($D$20+$A$20),H4,"Descartado"))))</f>
        <v>817</v>
      </c>
    </row>
    <row r="5" spans="1:9">
      <c r="A5" s="61"/>
      <c r="B5" s="63"/>
      <c r="C5" s="66"/>
      <c r="D5" s="69"/>
      <c r="E5" s="72"/>
      <c r="F5" s="72"/>
      <c r="G5" s="4" t="s">
        <v>38</v>
      </c>
      <c r="H5" s="13">
        <v>1125</v>
      </c>
      <c r="I5" s="29" t="str">
        <f t="shared" si="0"/>
        <v>Descartado</v>
      </c>
    </row>
    <row r="6" spans="1:9">
      <c r="A6" s="61"/>
      <c r="B6" s="63"/>
      <c r="C6" s="66"/>
      <c r="D6" s="69"/>
      <c r="E6" s="72"/>
      <c r="F6" s="72"/>
      <c r="G6" s="4"/>
      <c r="H6" s="13"/>
      <c r="I6" s="29" t="str">
        <f t="shared" si="0"/>
        <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757.25</v>
      </c>
    </row>
    <row r="23" spans="1:11">
      <c r="B23" s="32"/>
      <c r="C23" s="32"/>
      <c r="D23" s="57"/>
      <c r="E23" s="57"/>
      <c r="F23" s="36"/>
      <c r="G23" s="27" t="s">
        <v>9</v>
      </c>
      <c r="H23" s="28">
        <f>ROUND(H22,2)*D3</f>
        <v>7572.5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A18" sqref="A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84</v>
      </c>
      <c r="B2" s="30" t="s">
        <v>24</v>
      </c>
      <c r="C2" s="30" t="s">
        <v>1</v>
      </c>
      <c r="D2" s="30" t="s">
        <v>2</v>
      </c>
      <c r="E2" s="14" t="s">
        <v>32</v>
      </c>
      <c r="F2" s="14" t="s">
        <v>33</v>
      </c>
      <c r="G2" s="30" t="s">
        <v>3</v>
      </c>
      <c r="H2" s="15" t="s">
        <v>4</v>
      </c>
      <c r="I2" s="16" t="s">
        <v>10</v>
      </c>
    </row>
    <row r="3" spans="1:9" ht="12.75" customHeight="1">
      <c r="A3" s="61"/>
      <c r="B3" s="62" t="s">
        <v>39</v>
      </c>
      <c r="C3" s="65" t="s">
        <v>8</v>
      </c>
      <c r="D3" s="68">
        <v>10</v>
      </c>
      <c r="E3" s="71">
        <f>IF(C20&lt;=25%,D20,MIN(E20:F20))</f>
        <v>757.25</v>
      </c>
      <c r="F3" s="71">
        <f>MIN(H3:H17)</f>
        <v>697.5</v>
      </c>
      <c r="G3" s="4" t="s">
        <v>36</v>
      </c>
      <c r="H3" s="13">
        <v>697.5</v>
      </c>
      <c r="I3" s="29">
        <f>IF(H3="","",(IF($C$20&lt;25%,"N/A",IF(H3&lt;=($D$20+$A$20),H3,"Descartado"))))</f>
        <v>697.5</v>
      </c>
    </row>
    <row r="4" spans="1:9">
      <c r="A4" s="61"/>
      <c r="B4" s="63"/>
      <c r="C4" s="66"/>
      <c r="D4" s="69"/>
      <c r="E4" s="72"/>
      <c r="F4" s="72"/>
      <c r="G4" s="4" t="s">
        <v>37</v>
      </c>
      <c r="H4" s="13">
        <v>817</v>
      </c>
      <c r="I4" s="29">
        <f t="shared" ref="I4:I17" si="0">IF(H4="","",(IF($C$20&lt;25%,"N/A",IF(H4&lt;=($D$20+$A$20),H4,"Descartado"))))</f>
        <v>817</v>
      </c>
    </row>
    <row r="5" spans="1:9">
      <c r="A5" s="61"/>
      <c r="B5" s="63"/>
      <c r="C5" s="66"/>
      <c r="D5" s="69"/>
      <c r="E5" s="72"/>
      <c r="F5" s="72"/>
      <c r="G5" s="4" t="s">
        <v>38</v>
      </c>
      <c r="H5" s="13">
        <v>1125</v>
      </c>
      <c r="I5" s="29" t="str">
        <f t="shared" si="0"/>
        <v>Descartado</v>
      </c>
    </row>
    <row r="6" spans="1:9">
      <c r="A6" s="61"/>
      <c r="B6" s="63"/>
      <c r="C6" s="66"/>
      <c r="D6" s="69"/>
      <c r="E6" s="72"/>
      <c r="F6" s="72"/>
      <c r="G6" s="4"/>
      <c r="H6" s="13"/>
      <c r="I6" s="29" t="str">
        <f t="shared" si="0"/>
        <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757.25</v>
      </c>
    </row>
    <row r="23" spans="1:11">
      <c r="B23" s="32"/>
      <c r="C23" s="32"/>
      <c r="D23" s="57"/>
      <c r="E23" s="57"/>
      <c r="F23" s="36"/>
      <c r="G23" s="27" t="s">
        <v>9</v>
      </c>
      <c r="H23" s="28">
        <f>ROUND(H22,2)*D3</f>
        <v>7572.5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A18" sqref="A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85</v>
      </c>
      <c r="B2" s="30" t="s">
        <v>24</v>
      </c>
      <c r="C2" s="30" t="s">
        <v>1</v>
      </c>
      <c r="D2" s="30" t="s">
        <v>2</v>
      </c>
      <c r="E2" s="14" t="s">
        <v>32</v>
      </c>
      <c r="F2" s="14" t="s">
        <v>33</v>
      </c>
      <c r="G2" s="30" t="s">
        <v>3</v>
      </c>
      <c r="H2" s="15" t="s">
        <v>4</v>
      </c>
      <c r="I2" s="16" t="s">
        <v>10</v>
      </c>
    </row>
    <row r="3" spans="1:9" ht="12.75" customHeight="1">
      <c r="A3" s="61"/>
      <c r="B3" s="62" t="s">
        <v>39</v>
      </c>
      <c r="C3" s="65" t="s">
        <v>8</v>
      </c>
      <c r="D3" s="68">
        <v>10</v>
      </c>
      <c r="E3" s="71">
        <f>IF(C20&lt;=25%,D20,MIN(E20:F20))</f>
        <v>757.25</v>
      </c>
      <c r="F3" s="71">
        <f>MIN(H3:H17)</f>
        <v>697.5</v>
      </c>
      <c r="G3" s="4" t="s">
        <v>36</v>
      </c>
      <c r="H3" s="13">
        <v>697.5</v>
      </c>
      <c r="I3" s="29">
        <f>IF(H3="","",(IF($C$20&lt;25%,"N/A",IF(H3&lt;=($D$20+$A$20),H3,"Descartado"))))</f>
        <v>697.5</v>
      </c>
    </row>
    <row r="4" spans="1:9">
      <c r="A4" s="61"/>
      <c r="B4" s="63"/>
      <c r="C4" s="66"/>
      <c r="D4" s="69"/>
      <c r="E4" s="72"/>
      <c r="F4" s="72"/>
      <c r="G4" s="4" t="s">
        <v>37</v>
      </c>
      <c r="H4" s="13">
        <v>817</v>
      </c>
      <c r="I4" s="29">
        <f t="shared" ref="I4:I17" si="0">IF(H4="","",(IF($C$20&lt;25%,"N/A",IF(H4&lt;=($D$20+$A$20),H4,"Descartado"))))</f>
        <v>817</v>
      </c>
    </row>
    <row r="5" spans="1:9">
      <c r="A5" s="61"/>
      <c r="B5" s="63"/>
      <c r="C5" s="66"/>
      <c r="D5" s="69"/>
      <c r="E5" s="72"/>
      <c r="F5" s="72"/>
      <c r="G5" s="4" t="s">
        <v>38</v>
      </c>
      <c r="H5" s="13">
        <v>1125</v>
      </c>
      <c r="I5" s="29" t="str">
        <f t="shared" si="0"/>
        <v>Descartado</v>
      </c>
    </row>
    <row r="6" spans="1:9">
      <c r="A6" s="61"/>
      <c r="B6" s="63"/>
      <c r="C6" s="66"/>
      <c r="D6" s="69"/>
      <c r="E6" s="72"/>
      <c r="F6" s="72"/>
      <c r="G6" s="4"/>
      <c r="H6" s="13"/>
      <c r="I6" s="29" t="str">
        <f t="shared" si="0"/>
        <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757.25</v>
      </c>
    </row>
    <row r="23" spans="1:11">
      <c r="B23" s="32"/>
      <c r="C23" s="32"/>
      <c r="D23" s="57"/>
      <c r="E23" s="57"/>
      <c r="F23" s="36"/>
      <c r="G23" s="27" t="s">
        <v>9</v>
      </c>
      <c r="H23" s="28">
        <f>ROUND(H22,2)*D3</f>
        <v>7572.5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A18" sqref="A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86</v>
      </c>
      <c r="B2" s="30" t="s">
        <v>24</v>
      </c>
      <c r="C2" s="30" t="s">
        <v>1</v>
      </c>
      <c r="D2" s="30" t="s">
        <v>2</v>
      </c>
      <c r="E2" s="14" t="s">
        <v>32</v>
      </c>
      <c r="F2" s="14" t="s">
        <v>33</v>
      </c>
      <c r="G2" s="30" t="s">
        <v>3</v>
      </c>
      <c r="H2" s="15" t="s">
        <v>4</v>
      </c>
      <c r="I2" s="16" t="s">
        <v>10</v>
      </c>
    </row>
    <row r="3" spans="1:9" ht="12.75" customHeight="1">
      <c r="A3" s="61"/>
      <c r="B3" s="62" t="s">
        <v>39</v>
      </c>
      <c r="C3" s="65" t="s">
        <v>8</v>
      </c>
      <c r="D3" s="68">
        <v>10</v>
      </c>
      <c r="E3" s="71">
        <f>IF(C20&lt;=25%,D20,MIN(E20:F20))</f>
        <v>757.25</v>
      </c>
      <c r="F3" s="71">
        <f>MIN(H3:H17)</f>
        <v>697.5</v>
      </c>
      <c r="G3" s="4" t="s">
        <v>36</v>
      </c>
      <c r="H3" s="13">
        <v>697.5</v>
      </c>
      <c r="I3" s="29">
        <f>IF(H3="","",(IF($C$20&lt;25%,"N/A",IF(H3&lt;=($D$20+$A$20),H3,"Descartado"))))</f>
        <v>697.5</v>
      </c>
    </row>
    <row r="4" spans="1:9">
      <c r="A4" s="61"/>
      <c r="B4" s="63"/>
      <c r="C4" s="66"/>
      <c r="D4" s="69"/>
      <c r="E4" s="72"/>
      <c r="F4" s="72"/>
      <c r="G4" s="4" t="s">
        <v>37</v>
      </c>
      <c r="H4" s="13">
        <v>817</v>
      </c>
      <c r="I4" s="29">
        <f t="shared" ref="I4:I17" si="0">IF(H4="","",(IF($C$20&lt;25%,"N/A",IF(H4&lt;=($D$20+$A$20),H4,"Descartado"))))</f>
        <v>817</v>
      </c>
    </row>
    <row r="5" spans="1:9">
      <c r="A5" s="61"/>
      <c r="B5" s="63"/>
      <c r="C5" s="66"/>
      <c r="D5" s="69"/>
      <c r="E5" s="72"/>
      <c r="F5" s="72"/>
      <c r="G5" s="4" t="s">
        <v>38</v>
      </c>
      <c r="H5" s="13">
        <v>1125</v>
      </c>
      <c r="I5" s="29" t="str">
        <f t="shared" si="0"/>
        <v>Descartado</v>
      </c>
    </row>
    <row r="6" spans="1:9">
      <c r="A6" s="61"/>
      <c r="B6" s="63"/>
      <c r="C6" s="66"/>
      <c r="D6" s="69"/>
      <c r="E6" s="72"/>
      <c r="F6" s="72"/>
      <c r="G6" s="4"/>
      <c r="H6" s="13"/>
      <c r="I6" s="29" t="str">
        <f t="shared" si="0"/>
        <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757.25</v>
      </c>
    </row>
    <row r="23" spans="1:11">
      <c r="B23" s="32"/>
      <c r="C23" s="32"/>
      <c r="D23" s="57"/>
      <c r="E23" s="57"/>
      <c r="F23" s="36"/>
      <c r="G23" s="27" t="s">
        <v>9</v>
      </c>
      <c r="H23" s="28">
        <f>ROUND(H22,2)*D3</f>
        <v>7572.5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A18" sqref="A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87</v>
      </c>
      <c r="B2" s="30" t="s">
        <v>24</v>
      </c>
      <c r="C2" s="30" t="s">
        <v>1</v>
      </c>
      <c r="D2" s="30" t="s">
        <v>2</v>
      </c>
      <c r="E2" s="14" t="s">
        <v>32</v>
      </c>
      <c r="F2" s="14" t="s">
        <v>33</v>
      </c>
      <c r="G2" s="30" t="s">
        <v>3</v>
      </c>
      <c r="H2" s="15" t="s">
        <v>4</v>
      </c>
      <c r="I2" s="16" t="s">
        <v>10</v>
      </c>
    </row>
    <row r="3" spans="1:9" ht="12.75" customHeight="1">
      <c r="A3" s="61"/>
      <c r="B3" s="62" t="s">
        <v>39</v>
      </c>
      <c r="C3" s="65" t="s">
        <v>8</v>
      </c>
      <c r="D3" s="68">
        <v>10</v>
      </c>
      <c r="E3" s="71">
        <f>IF(C20&lt;=25%,D20,MIN(E20:F20))</f>
        <v>757.25</v>
      </c>
      <c r="F3" s="71">
        <f>MIN(H3:H17)</f>
        <v>697.5</v>
      </c>
      <c r="G3" s="4" t="s">
        <v>36</v>
      </c>
      <c r="H3" s="13">
        <v>697.5</v>
      </c>
      <c r="I3" s="29">
        <f>IF(H3="","",(IF($C$20&lt;25%,"N/A",IF(H3&lt;=($D$20+$A$20),H3,"Descartado"))))</f>
        <v>697.5</v>
      </c>
    </row>
    <row r="4" spans="1:9">
      <c r="A4" s="61"/>
      <c r="B4" s="63"/>
      <c r="C4" s="66"/>
      <c r="D4" s="69"/>
      <c r="E4" s="72"/>
      <c r="F4" s="72"/>
      <c r="G4" s="4" t="s">
        <v>37</v>
      </c>
      <c r="H4" s="13">
        <v>817</v>
      </c>
      <c r="I4" s="29">
        <f t="shared" ref="I4:I17" si="0">IF(H4="","",(IF($C$20&lt;25%,"N/A",IF(H4&lt;=($D$20+$A$20),H4,"Descartado"))))</f>
        <v>817</v>
      </c>
    </row>
    <row r="5" spans="1:9">
      <c r="A5" s="61"/>
      <c r="B5" s="63"/>
      <c r="C5" s="66"/>
      <c r="D5" s="69"/>
      <c r="E5" s="72"/>
      <c r="F5" s="72"/>
      <c r="G5" s="4" t="s">
        <v>38</v>
      </c>
      <c r="H5" s="13">
        <v>1125</v>
      </c>
      <c r="I5" s="29" t="str">
        <f t="shared" si="0"/>
        <v>Descartado</v>
      </c>
    </row>
    <row r="6" spans="1:9">
      <c r="A6" s="61"/>
      <c r="B6" s="63"/>
      <c r="C6" s="66"/>
      <c r="D6" s="69"/>
      <c r="E6" s="72"/>
      <c r="F6" s="72"/>
      <c r="G6" s="4"/>
      <c r="H6" s="13"/>
      <c r="I6" s="29" t="str">
        <f t="shared" si="0"/>
        <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757.25</v>
      </c>
    </row>
    <row r="23" spans="1:11">
      <c r="B23" s="32"/>
      <c r="C23" s="32"/>
      <c r="D23" s="57"/>
      <c r="E23" s="57"/>
      <c r="F23" s="36"/>
      <c r="G23" s="27" t="s">
        <v>9</v>
      </c>
      <c r="H23" s="28">
        <f>ROUND(H22,2)*D3</f>
        <v>7572.5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A18" sqref="A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88</v>
      </c>
      <c r="B2" s="30" t="s">
        <v>24</v>
      </c>
      <c r="C2" s="30" t="s">
        <v>1</v>
      </c>
      <c r="D2" s="30" t="s">
        <v>2</v>
      </c>
      <c r="E2" s="14" t="s">
        <v>32</v>
      </c>
      <c r="F2" s="14" t="s">
        <v>33</v>
      </c>
      <c r="G2" s="30" t="s">
        <v>3</v>
      </c>
      <c r="H2" s="15" t="s">
        <v>4</v>
      </c>
      <c r="I2" s="16" t="s">
        <v>10</v>
      </c>
    </row>
    <row r="3" spans="1:9" ht="12.75" customHeight="1">
      <c r="A3" s="61"/>
      <c r="B3" s="62" t="s">
        <v>39</v>
      </c>
      <c r="C3" s="65" t="s">
        <v>8</v>
      </c>
      <c r="D3" s="68">
        <v>10</v>
      </c>
      <c r="E3" s="71">
        <f>IF(C20&lt;=25%,D20,MIN(E20:F20))</f>
        <v>757.25</v>
      </c>
      <c r="F3" s="71">
        <f>MIN(H3:H17)</f>
        <v>697.5</v>
      </c>
      <c r="G3" s="4" t="s">
        <v>36</v>
      </c>
      <c r="H3" s="13">
        <v>697.5</v>
      </c>
      <c r="I3" s="29">
        <f>IF(H3="","",(IF($C$20&lt;25%,"N/A",IF(H3&lt;=($D$20+$A$20),H3,"Descartado"))))</f>
        <v>697.5</v>
      </c>
    </row>
    <row r="4" spans="1:9">
      <c r="A4" s="61"/>
      <c r="B4" s="63"/>
      <c r="C4" s="66"/>
      <c r="D4" s="69"/>
      <c r="E4" s="72"/>
      <c r="F4" s="72"/>
      <c r="G4" s="4" t="s">
        <v>37</v>
      </c>
      <c r="H4" s="13">
        <v>817</v>
      </c>
      <c r="I4" s="29">
        <f t="shared" ref="I4:I17" si="0">IF(H4="","",(IF($C$20&lt;25%,"N/A",IF(H4&lt;=($D$20+$A$20),H4,"Descartado"))))</f>
        <v>817</v>
      </c>
    </row>
    <row r="5" spans="1:9">
      <c r="A5" s="61"/>
      <c r="B5" s="63"/>
      <c r="C5" s="66"/>
      <c r="D5" s="69"/>
      <c r="E5" s="72"/>
      <c r="F5" s="72"/>
      <c r="G5" s="4" t="s">
        <v>38</v>
      </c>
      <c r="H5" s="13">
        <v>1125</v>
      </c>
      <c r="I5" s="29" t="str">
        <f t="shared" si="0"/>
        <v>Descartado</v>
      </c>
    </row>
    <row r="6" spans="1:9">
      <c r="A6" s="61"/>
      <c r="B6" s="63"/>
      <c r="C6" s="66"/>
      <c r="D6" s="69"/>
      <c r="E6" s="72"/>
      <c r="F6" s="72"/>
      <c r="G6" s="4"/>
      <c r="H6" s="13"/>
      <c r="I6" s="29" t="str">
        <f t="shared" si="0"/>
        <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757.25</v>
      </c>
    </row>
    <row r="23" spans="1:11">
      <c r="B23" s="32"/>
      <c r="C23" s="32"/>
      <c r="D23" s="57"/>
      <c r="E23" s="57"/>
      <c r="F23" s="36"/>
      <c r="G23" s="27" t="s">
        <v>9</v>
      </c>
      <c r="H23" s="28">
        <f>ROUND(H22,2)*D3</f>
        <v>7572.5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A18" sqref="A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89</v>
      </c>
      <c r="B2" s="30" t="s">
        <v>24</v>
      </c>
      <c r="C2" s="30" t="s">
        <v>1</v>
      </c>
      <c r="D2" s="30" t="s">
        <v>2</v>
      </c>
      <c r="E2" s="14" t="s">
        <v>32</v>
      </c>
      <c r="F2" s="14" t="s">
        <v>33</v>
      </c>
      <c r="G2" s="30" t="s">
        <v>3</v>
      </c>
      <c r="H2" s="15" t="s">
        <v>4</v>
      </c>
      <c r="I2" s="16" t="s">
        <v>10</v>
      </c>
    </row>
    <row r="3" spans="1:9" ht="12.75" customHeight="1">
      <c r="A3" s="61"/>
      <c r="B3" s="62" t="s">
        <v>39</v>
      </c>
      <c r="C3" s="65" t="s">
        <v>8</v>
      </c>
      <c r="D3" s="68">
        <v>10</v>
      </c>
      <c r="E3" s="71">
        <f>IF(C20&lt;=25%,D20,MIN(E20:F20))</f>
        <v>757.25</v>
      </c>
      <c r="F3" s="71">
        <f>MIN(H3:H17)</f>
        <v>697.5</v>
      </c>
      <c r="G3" s="4" t="s">
        <v>36</v>
      </c>
      <c r="H3" s="13">
        <v>697.5</v>
      </c>
      <c r="I3" s="29">
        <f>IF(H3="","",(IF($C$20&lt;25%,"N/A",IF(H3&lt;=($D$20+$A$20),H3,"Descartado"))))</f>
        <v>697.5</v>
      </c>
    </row>
    <row r="4" spans="1:9">
      <c r="A4" s="61"/>
      <c r="B4" s="63"/>
      <c r="C4" s="66"/>
      <c r="D4" s="69"/>
      <c r="E4" s="72"/>
      <c r="F4" s="72"/>
      <c r="G4" s="4" t="s">
        <v>37</v>
      </c>
      <c r="H4" s="13">
        <v>817</v>
      </c>
      <c r="I4" s="29">
        <f t="shared" ref="I4:I17" si="0">IF(H4="","",(IF($C$20&lt;25%,"N/A",IF(H4&lt;=($D$20+$A$20),H4,"Descartado"))))</f>
        <v>817</v>
      </c>
    </row>
    <row r="5" spans="1:9">
      <c r="A5" s="61"/>
      <c r="B5" s="63"/>
      <c r="C5" s="66"/>
      <c r="D5" s="69"/>
      <c r="E5" s="72"/>
      <c r="F5" s="72"/>
      <c r="G5" s="4" t="s">
        <v>38</v>
      </c>
      <c r="H5" s="13">
        <v>1125</v>
      </c>
      <c r="I5" s="29" t="str">
        <f t="shared" si="0"/>
        <v>Descartado</v>
      </c>
    </row>
    <row r="6" spans="1:9">
      <c r="A6" s="61"/>
      <c r="B6" s="63"/>
      <c r="C6" s="66"/>
      <c r="D6" s="69"/>
      <c r="E6" s="72"/>
      <c r="F6" s="72"/>
      <c r="G6" s="4"/>
      <c r="H6" s="13"/>
      <c r="I6" s="29" t="str">
        <f t="shared" si="0"/>
        <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757.25</v>
      </c>
    </row>
    <row r="23" spans="1:11">
      <c r="B23" s="32"/>
      <c r="C23" s="32"/>
      <c r="D23" s="57"/>
      <c r="E23" s="57"/>
      <c r="F23" s="36"/>
      <c r="G23" s="27" t="s">
        <v>9</v>
      </c>
      <c r="H23" s="28">
        <f>ROUND(H22,2)*D3</f>
        <v>7572.5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45</v>
      </c>
      <c r="B2" s="30" t="s">
        <v>24</v>
      </c>
      <c r="C2" s="30" t="s">
        <v>1</v>
      </c>
      <c r="D2" s="30" t="s">
        <v>2</v>
      </c>
      <c r="E2" s="14" t="s">
        <v>32</v>
      </c>
      <c r="F2" s="14" t="s">
        <v>33</v>
      </c>
      <c r="G2" s="30" t="s">
        <v>3</v>
      </c>
      <c r="H2" s="15" t="s">
        <v>4</v>
      </c>
      <c r="I2" s="16" t="s">
        <v>10</v>
      </c>
    </row>
    <row r="3" spans="1:9" ht="12.75" customHeight="1">
      <c r="A3" s="61"/>
      <c r="B3" s="62" t="s">
        <v>133</v>
      </c>
      <c r="C3" s="65" t="s">
        <v>8</v>
      </c>
      <c r="D3" s="68">
        <f>500*0.25</f>
        <v>125</v>
      </c>
      <c r="E3" s="71">
        <f>IF(C20&lt;=25%,D20,MIN(E20:F20))</f>
        <v>339.68</v>
      </c>
      <c r="F3" s="71">
        <f>MIN(H3:H17)</f>
        <v>283.89999999999998</v>
      </c>
      <c r="G3" s="4" t="s">
        <v>118</v>
      </c>
      <c r="H3" s="13">
        <v>331.55</v>
      </c>
      <c r="I3" s="29" t="str">
        <f>IF(H3="","",(IF($C$20&lt;25%,"N/A",IF(H3&lt;=($D$20+$A$20),H3,"Descartado"))))</f>
        <v>N/A</v>
      </c>
    </row>
    <row r="4" spans="1:9">
      <c r="A4" s="61"/>
      <c r="B4" s="63"/>
      <c r="C4" s="66"/>
      <c r="D4" s="69"/>
      <c r="E4" s="72"/>
      <c r="F4" s="72"/>
      <c r="G4" s="4" t="s">
        <v>120</v>
      </c>
      <c r="H4" s="13">
        <v>398.88</v>
      </c>
      <c r="I4" s="29" t="str">
        <f t="shared" ref="I4:I17" si="0">IF(H4="","",(IF($C$20&lt;25%,"N/A",IF(H4&lt;=($D$20+$A$20),H4,"Descartado"))))</f>
        <v>N/A</v>
      </c>
    </row>
    <row r="5" spans="1:9">
      <c r="A5" s="61"/>
      <c r="B5" s="63"/>
      <c r="C5" s="66"/>
      <c r="D5" s="69"/>
      <c r="E5" s="72"/>
      <c r="F5" s="72"/>
      <c r="G5" s="4" t="s">
        <v>134</v>
      </c>
      <c r="H5" s="13">
        <v>287</v>
      </c>
      <c r="I5" s="29" t="str">
        <f t="shared" si="0"/>
        <v>N/A</v>
      </c>
    </row>
    <row r="6" spans="1:9">
      <c r="A6" s="61"/>
      <c r="B6" s="63"/>
      <c r="C6" s="66"/>
      <c r="D6" s="69"/>
      <c r="E6" s="72"/>
      <c r="F6" s="72"/>
      <c r="G6" s="4" t="s">
        <v>135</v>
      </c>
      <c r="H6" s="13">
        <v>283.89999999999998</v>
      </c>
      <c r="I6" s="29" t="str">
        <f t="shared" si="0"/>
        <v>N/A</v>
      </c>
    </row>
    <row r="7" spans="1:9">
      <c r="A7" s="61"/>
      <c r="B7" s="63"/>
      <c r="C7" s="66"/>
      <c r="D7" s="69"/>
      <c r="E7" s="72"/>
      <c r="F7" s="72"/>
      <c r="G7" s="4" t="s">
        <v>132</v>
      </c>
      <c r="H7" s="13">
        <v>318.92</v>
      </c>
      <c r="I7" s="29" t="str">
        <f t="shared" si="0"/>
        <v>N/A</v>
      </c>
    </row>
    <row r="8" spans="1:9">
      <c r="A8" s="61"/>
      <c r="B8" s="63"/>
      <c r="C8" s="66"/>
      <c r="D8" s="69"/>
      <c r="E8" s="72"/>
      <c r="F8" s="72"/>
      <c r="G8" s="4" t="s">
        <v>121</v>
      </c>
      <c r="H8" s="13">
        <v>329.77</v>
      </c>
      <c r="I8" s="29" t="str">
        <f t="shared" si="0"/>
        <v>N/A</v>
      </c>
    </row>
    <row r="9" spans="1:9">
      <c r="A9" s="61"/>
      <c r="B9" s="63"/>
      <c r="C9" s="66"/>
      <c r="D9" s="69"/>
      <c r="E9" s="72"/>
      <c r="F9" s="72"/>
      <c r="G9" s="4" t="s">
        <v>136</v>
      </c>
      <c r="H9" s="13">
        <v>427.72</v>
      </c>
      <c r="I9" s="29" t="str">
        <f t="shared" si="0"/>
        <v>N/A</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54.371492136439414</v>
      </c>
      <c r="B20" s="19">
        <f>COUNT(H3:H17)</f>
        <v>7</v>
      </c>
      <c r="C20" s="20">
        <f>IF(B20&lt;2,"N/A",(A20/D20))</f>
        <v>0.16006680445254184</v>
      </c>
      <c r="D20" s="21">
        <f>ROUND(AVERAGE(H3:H17),2)</f>
        <v>339.68</v>
      </c>
      <c r="E20" s="22" t="str">
        <f>IFERROR(ROUND(IF(B20&lt;2,"N/A",(IF(C20&lt;=25%,"N/A",AVERAGE(I3:I17)))),2),"N/A")</f>
        <v>N/A</v>
      </c>
      <c r="F20" s="22">
        <f>ROUND(MEDIAN(H3:H17),2)</f>
        <v>329.77</v>
      </c>
      <c r="G20" s="23" t="str">
        <f>INDEX(G3:G17,MATCH(H20,H3:H17,0))</f>
        <v>OCEANO B2B</v>
      </c>
      <c r="H20" s="24">
        <f>MIN(H3:H17)</f>
        <v>283.89999999999998</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339.68</v>
      </c>
    </row>
    <row r="23" spans="1:11">
      <c r="B23" s="32"/>
      <c r="C23" s="32"/>
      <c r="D23" s="57"/>
      <c r="E23" s="57"/>
      <c r="F23" s="36"/>
      <c r="G23" s="27" t="s">
        <v>9</v>
      </c>
      <c r="H23" s="28">
        <f>ROUND(H22,2)*D3</f>
        <v>42460</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A18" sqref="A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90</v>
      </c>
      <c r="B2" s="30" t="s">
        <v>24</v>
      </c>
      <c r="C2" s="30" t="s">
        <v>1</v>
      </c>
      <c r="D2" s="30" t="s">
        <v>2</v>
      </c>
      <c r="E2" s="14" t="s">
        <v>32</v>
      </c>
      <c r="F2" s="14" t="s">
        <v>33</v>
      </c>
      <c r="G2" s="30" t="s">
        <v>3</v>
      </c>
      <c r="H2" s="15" t="s">
        <v>4</v>
      </c>
      <c r="I2" s="16" t="s">
        <v>10</v>
      </c>
    </row>
    <row r="3" spans="1:9" ht="12.75" customHeight="1">
      <c r="A3" s="61"/>
      <c r="B3" s="62" t="s">
        <v>39</v>
      </c>
      <c r="C3" s="65" t="s">
        <v>8</v>
      </c>
      <c r="D3" s="68">
        <v>10</v>
      </c>
      <c r="E3" s="71">
        <f>IF(C20&lt;=25%,D20,MIN(E20:F20))</f>
        <v>757.25</v>
      </c>
      <c r="F3" s="71">
        <f>MIN(H3:H17)</f>
        <v>697.5</v>
      </c>
      <c r="G3" s="4" t="s">
        <v>36</v>
      </c>
      <c r="H3" s="13">
        <v>697.5</v>
      </c>
      <c r="I3" s="29">
        <f>IF(H3="","",(IF($C$20&lt;25%,"N/A",IF(H3&lt;=($D$20+$A$20),H3,"Descartado"))))</f>
        <v>697.5</v>
      </c>
    </row>
    <row r="4" spans="1:9">
      <c r="A4" s="61"/>
      <c r="B4" s="63"/>
      <c r="C4" s="66"/>
      <c r="D4" s="69"/>
      <c r="E4" s="72"/>
      <c r="F4" s="72"/>
      <c r="G4" s="4" t="s">
        <v>37</v>
      </c>
      <c r="H4" s="13">
        <v>817</v>
      </c>
      <c r="I4" s="29">
        <f t="shared" ref="I4:I17" si="0">IF(H4="","",(IF($C$20&lt;25%,"N/A",IF(H4&lt;=($D$20+$A$20),H4,"Descartado"))))</f>
        <v>817</v>
      </c>
    </row>
    <row r="5" spans="1:9">
      <c r="A5" s="61"/>
      <c r="B5" s="63"/>
      <c r="C5" s="66"/>
      <c r="D5" s="69"/>
      <c r="E5" s="72"/>
      <c r="F5" s="72"/>
      <c r="G5" s="4" t="s">
        <v>38</v>
      </c>
      <c r="H5" s="13">
        <v>1125</v>
      </c>
      <c r="I5" s="29" t="str">
        <f t="shared" si="0"/>
        <v>Descartado</v>
      </c>
    </row>
    <row r="6" spans="1:9">
      <c r="A6" s="61"/>
      <c r="B6" s="63"/>
      <c r="C6" s="66"/>
      <c r="D6" s="69"/>
      <c r="E6" s="72"/>
      <c r="F6" s="72"/>
      <c r="G6" s="4"/>
      <c r="H6" s="13"/>
      <c r="I6" s="29" t="str">
        <f t="shared" si="0"/>
        <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757.25</v>
      </c>
    </row>
    <row r="23" spans="1:11">
      <c r="B23" s="32"/>
      <c r="C23" s="32"/>
      <c r="D23" s="57"/>
      <c r="E23" s="57"/>
      <c r="F23" s="36"/>
      <c r="G23" s="27" t="s">
        <v>9</v>
      </c>
      <c r="H23" s="28">
        <f>ROUND(H22,2)*D3</f>
        <v>7572.5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O48"/>
  <sheetViews>
    <sheetView tabSelected="1" view="pageBreakPreview" zoomScaleNormal="100" zoomScaleSheetLayoutView="100" workbookViewId="0">
      <selection activeCell="E3" sqref="E3"/>
    </sheetView>
  </sheetViews>
  <sheetFormatPr defaultRowHeight="12.75"/>
  <cols>
    <col min="1" max="1" width="18.42578125" style="1" customWidth="1"/>
    <col min="2" max="2" width="9.140625" style="1"/>
    <col min="3" max="3" width="86.85546875" style="1" customWidth="1"/>
    <col min="4" max="6" width="13.28515625" style="1" customWidth="1"/>
    <col min="7" max="7" width="17.42578125" style="1" bestFit="1" customWidth="1"/>
    <col min="8" max="8" width="17.42578125" style="2" customWidth="1"/>
    <col min="9" max="15" width="9.140625" style="2"/>
    <col min="16" max="16384" width="9.140625" style="1"/>
  </cols>
  <sheetData>
    <row r="8" spans="1:8" ht="15.75" customHeight="1">
      <c r="A8" s="92" t="s">
        <v>14</v>
      </c>
      <c r="B8" s="92"/>
      <c r="C8" s="92"/>
      <c r="D8" s="92"/>
      <c r="E8" s="92"/>
      <c r="F8" s="92"/>
      <c r="G8" s="92"/>
      <c r="H8" s="92"/>
    </row>
    <row r="9" spans="1:8" ht="25.5">
      <c r="A9" s="40" t="s">
        <v>206</v>
      </c>
      <c r="B9" s="40" t="s">
        <v>15</v>
      </c>
      <c r="C9" s="40" t="s">
        <v>16</v>
      </c>
      <c r="D9" s="40" t="s">
        <v>17</v>
      </c>
      <c r="E9" s="40" t="s">
        <v>18</v>
      </c>
      <c r="F9" s="40" t="s">
        <v>13</v>
      </c>
      <c r="G9" s="40" t="s">
        <v>207</v>
      </c>
      <c r="H9" s="40" t="s">
        <v>208</v>
      </c>
    </row>
    <row r="10" spans="1:8" ht="204">
      <c r="A10" s="41" t="s">
        <v>209</v>
      </c>
      <c r="B10" s="41">
        <v>1</v>
      </c>
      <c r="C10" s="42" t="str">
        <f>Item1!B3</f>
        <v>TELEVISOR LED, com as seguintes características:
• Diagonal entre 30 a 32 polegadas;
• Conversor digital integrado;
• Cor preta.
• Fonte bivolt 110-220 V
• Conexões
 Mínimo de 1 (uma)entradas HDMI;
 Mínimo de 1 (uma) entrada USB 2.0 ou superior com capacidade de reprodução de áudio, vídeo e musicas em alta resolução direto de dispositivo USB (Pen Drive);
 Mínimo de 1(uma) entrada de áudio
            /vídeo.
 Mínimo de uma entrada RF para TV aberta.
• Controle remoto munido das pilhas necessárias para o primeiro uso.
• Acompanhado de base para uso em mesa
• Garantia de, no mínimo, 360 dias.
• Manual em português.</v>
      </c>
      <c r="D10" s="41" t="str">
        <f>Item1!C3</f>
        <v>unidade</v>
      </c>
      <c r="E10" s="41">
        <f>Item1!D3</f>
        <v>25</v>
      </c>
      <c r="F10" s="43">
        <f>Item1!E3</f>
        <v>962</v>
      </c>
      <c r="G10" s="43">
        <f t="shared" ref="G10:G41" si="0">(ROUND(F10,2)*E10)</f>
        <v>24050</v>
      </c>
      <c r="H10" s="84" t="s">
        <v>209</v>
      </c>
    </row>
    <row r="11" spans="1:8" ht="267.75">
      <c r="A11" s="41" t="s">
        <v>209</v>
      </c>
      <c r="B11" s="41">
        <v>2</v>
      </c>
      <c r="C11" s="42" t="str">
        <f>Item2!B3</f>
        <v>SMART TV LED, com as seguintes características:
• Diagonal entre 55 a 60 polegadas;
• Cor preta.
• Resolução de imagem mínima Full HD;
• Conversor digital integrado;
• Fonte bivolt 110-220 V
Conexões
 Mínimo de 2 (duas) entradas HDMI;
 Mínimo de 1 (uma) entrada USB 2.0 ou superior com capacidade de reprodução de áudio, vídeo e musicas em alta resolução direto de dispositivo USB (Pen Drive);
 Mínimo de 1 (uma) entrada de áudio/ vídeo;
 Mínimo de uma entrada RF para TV aberta;
 Mínimo de uma entrada Ethernet(LAN);
 Wi-fi integrado.
• Controle remoto munido das pilhas necessárias;
• Alimentação bi volt: 110 – 220 v/60hz;
• Acompanhado de base para uso em mesa;
• Menu em Português.
• Garantia de, no mínimo, 360 dias.</v>
      </c>
      <c r="D11" s="41" t="str">
        <f>Item2!C3</f>
        <v>unidade</v>
      </c>
      <c r="E11" s="41">
        <f>Item2!D3</f>
        <v>5</v>
      </c>
      <c r="F11" s="43">
        <f>Item2!E3</f>
        <v>2748.53</v>
      </c>
      <c r="G11" s="43">
        <f t="shared" si="0"/>
        <v>13742.650000000001</v>
      </c>
      <c r="H11" s="84" t="s">
        <v>209</v>
      </c>
    </row>
    <row r="12" spans="1:8" ht="216.75">
      <c r="A12" s="41" t="s">
        <v>209</v>
      </c>
      <c r="B12" s="41">
        <v>3</v>
      </c>
      <c r="C12" s="42" t="str">
        <f>Item3!B3</f>
        <v>APARELHO TELEFÔNICO SEM FIO, com as
seguintes características,
• Tecnologia DECT 6.0;
• Tecla localizadora de monofone;
• Tempo de flash: 300ms (trezentos milissegundos);
• Indicador de bateria fraca;
• Ajuste de volume de recepção (monofone);
• Ajuste de volume de campainha;
• Seleção tom/pulso;
• Tecla Flash, rediscar e mudo;
• Acompanha Bateria/pilha recarregável com duração de, no mínimo, 90 horas em modo repouso e mínimo de 9 horas em uso contínuo;
• Fonte bivolt 110-220 V;
• Compatível com os padrões, protocolos e sinalizações do sistema brasileiro de telecomunicações;
• Embalagem individual, em material reciclável;
• Cor preta, grafite, argila, cinza ou branca.
• Garantia de, no mínimo, 90 dias.</v>
      </c>
      <c r="D12" s="41" t="str">
        <f>Item3!C3</f>
        <v>unidade</v>
      </c>
      <c r="E12" s="41">
        <f>Item3!D3</f>
        <v>150</v>
      </c>
      <c r="F12" s="43">
        <f>Item3!E3</f>
        <v>143.16999999999999</v>
      </c>
      <c r="G12" s="43">
        <f t="shared" si="0"/>
        <v>21475.499999999996</v>
      </c>
      <c r="H12" s="84" t="s">
        <v>209</v>
      </c>
    </row>
    <row r="13" spans="1:8" ht="102">
      <c r="A13" s="41" t="s">
        <v>209</v>
      </c>
      <c r="B13" s="41">
        <v>4</v>
      </c>
      <c r="C13" s="42" t="str">
        <f>Item4!B3</f>
        <v>APARELHO TELEFÔNICO, com as seguintes características:
• Ajuste de volume de campainha;
• Seleção tom/pulso;
• Tecla Flash, rediscar, pausa e mudo;
• Tempo de flash: 300ms (trezentos milissegundos);
• Cor preta, grafite, argila ou branca;
• Compatível com os padrões, protocolos e sinalizações do sistema brasileiro de telecomunicações;
• Embalagem individual, em material reciclável.</v>
      </c>
      <c r="D13" s="41" t="str">
        <f>Item4!C3</f>
        <v>unidade</v>
      </c>
      <c r="E13" s="41">
        <f>Item4!D3</f>
        <v>250</v>
      </c>
      <c r="F13" s="43">
        <f>Item4!E3</f>
        <v>43.97</v>
      </c>
      <c r="G13" s="43">
        <f t="shared" si="0"/>
        <v>10992.5</v>
      </c>
      <c r="H13" s="84" t="s">
        <v>209</v>
      </c>
    </row>
    <row r="14" spans="1:8" ht="216.75">
      <c r="A14" s="41" t="s">
        <v>209</v>
      </c>
      <c r="B14" s="41">
        <v>5</v>
      </c>
      <c r="C14" s="42" t="str">
        <f>Item5!B3</f>
        <v>APARELHOS TELEFÔNICOS IP, com as seguintes características:
• Display alfanumérico;
• Teclado com as funções viva-voz, mute, redial e flash;
• 2 (duas) interfaces ethernet, modelo RJ- 45/10/100baseT uma para conexão com a rede e outra para conexão com o PC;
• Suporte aos CODECs de áudio: G711-A, G711-U, G722, G.726 e G.729 A/B;
• Suporte ao protocolo SIP
• Suporte a pelo menos uma conta SIP
• Suporte e Gerenciamento SNMP
• Qualidade do Serviço: Nível 2 (IEEE 802.1p/Q) e Nível 3 (Dlffsen);
• CPU: Memória Flash de, no mínimo, 4 Mbytes e SDRAM de, no mínimo, 8 Mbytes;
•  Modo de Configuração: Via display e via interface WEB;
• Alimentação Externa 110 ~ 220 VAC, inclusive com Poe (Power Over Internet) integrado;
• Manual em português;
• Cor preta, argila ou grafite;
• Referência: GRANDSTREAM GXP 1615/1625, Intelbras TIP125 ou Yealink T19P.</v>
      </c>
      <c r="D14" s="41" t="str">
        <f>Item5!C3</f>
        <v>unidade</v>
      </c>
      <c r="E14" s="41">
        <f>Item5!D3</f>
        <v>125</v>
      </c>
      <c r="F14" s="43">
        <f>Item5!E3</f>
        <v>339.68</v>
      </c>
      <c r="G14" s="43">
        <f t="shared" si="0"/>
        <v>42460</v>
      </c>
      <c r="H14" s="84" t="s">
        <v>209</v>
      </c>
    </row>
    <row r="15" spans="1:8" ht="242.25">
      <c r="A15" s="41" t="s">
        <v>209</v>
      </c>
      <c r="B15" s="41">
        <v>6</v>
      </c>
      <c r="C15" s="42" t="str">
        <f>Item6!B3</f>
        <v>SUPORTE PARA TV LED TIPO
PEDESTAL DE PISO, com as seguintes características:
• Com regulagem de altura da TV
• Compatível com TVs de 32 a 65 polegadas;
• Cor predominante preta ou grafite;
• Passagem interna para fiação;
• Com no mínimo uma bandeja de apoio para DVD e Notebook;
• Dimensões da bandeja (500mm x 290mm) (LxP). Admite-se variação de 100 mm na largura e de 100 mm na profundidade;
• Compatível com os seguintes padrões de furação VESA 200x100, 200x200, 200x300, 300x200, 300x300, 400x200, 400x300, 400x400, 600x200 ou 600x400mm (HxV);
• Parafusos para fixação da TV;
• Fabricado em aço carbono com acabamento em pintura eletrostática;
• Rodízio (rodas) para locomoção com trava;
• Mínimo de uma prateleira;
• Carga mínima suportada da TV: 45 kg ou superior;
• Carga mínima sobre a bandeja: 5 kg ou superior;
• Manual de instrução de português.
• Garantia de, no mínimo, 90 dias.</v>
      </c>
      <c r="D15" s="41" t="str">
        <f>Item6!C3</f>
        <v>unidade</v>
      </c>
      <c r="E15" s="41">
        <f>Item6!D3</f>
        <v>10</v>
      </c>
      <c r="F15" s="43">
        <f>Item6!E3</f>
        <v>1004.7</v>
      </c>
      <c r="G15" s="43">
        <f t="shared" si="0"/>
        <v>10047</v>
      </c>
      <c r="H15" s="84" t="s">
        <v>209</v>
      </c>
    </row>
    <row r="16" spans="1:8" ht="89.25">
      <c r="A16" s="41" t="s">
        <v>209</v>
      </c>
      <c r="B16" s="41">
        <v>7</v>
      </c>
      <c r="C16" s="42" t="str">
        <f>Item7!B3</f>
        <v>CAFETEIRA, com as seguintes especificações:
• Jarra em aço inox;
• Filtro permanente removível;
• Capacidade mínima de 1 litro;
• Indicador do nível de água;
• Alimentação elétrica: 127V ou bivolt.
• Garantia de, no mínimo, 360 dias.</v>
      </c>
      <c r="D16" s="41" t="str">
        <f>Item7!C3</f>
        <v>unidade</v>
      </c>
      <c r="E16" s="41">
        <f>Item7!D3</f>
        <v>50</v>
      </c>
      <c r="F16" s="43">
        <f>Item7!E3</f>
        <v>212.08</v>
      </c>
      <c r="G16" s="43">
        <f t="shared" si="0"/>
        <v>10604</v>
      </c>
      <c r="H16" s="84" t="s">
        <v>209</v>
      </c>
    </row>
    <row r="17" spans="1:8" ht="89.25">
      <c r="A17" s="41" t="s">
        <v>209</v>
      </c>
      <c r="B17" s="41">
        <v>8</v>
      </c>
      <c r="C17" s="42" t="str">
        <f>Item8!B3</f>
        <v>CAFETEIRA, com as seguintes especificações:
• Jarra em aço inox;
• Filtro permanente removível;
• Capacidade mínima de 1 litro;
• Indicador do nível de água;
• Alimentação elétrica: 220V ou bivolt.
• Garantia de, no mínimo, 360 dias.</v>
      </c>
      <c r="D17" s="41" t="str">
        <f>Item8!C3</f>
        <v>unidade</v>
      </c>
      <c r="E17" s="41">
        <f>Item8!D3</f>
        <v>50</v>
      </c>
      <c r="F17" s="43">
        <f>Item8!E3</f>
        <v>214.73</v>
      </c>
      <c r="G17" s="43">
        <f t="shared" si="0"/>
        <v>10736.5</v>
      </c>
      <c r="H17" s="84" t="s">
        <v>209</v>
      </c>
    </row>
    <row r="18" spans="1:8" ht="89.25">
      <c r="A18" s="41" t="s">
        <v>209</v>
      </c>
      <c r="B18" s="41">
        <v>9</v>
      </c>
      <c r="C18" s="42" t="str">
        <f>Item9!B3</f>
        <v>FORNO DE MICRO-ONDAS, com as seguintes especificações:
• Capacidade (câmara do alimento) entre 30 e 35 litros;
• Voltagem: 127V;
• Prato giratório removível;
• Display e menu com funções em português;
• Trava de segurança.
• Selo Procel A</v>
      </c>
      <c r="D18" s="41" t="str">
        <f>Item9!C3</f>
        <v>unidade</v>
      </c>
      <c r="E18" s="41">
        <f>Item9!D3</f>
        <v>60</v>
      </c>
      <c r="F18" s="43">
        <f>Item9!E3</f>
        <v>700.11</v>
      </c>
      <c r="G18" s="43">
        <f t="shared" si="0"/>
        <v>42006.6</v>
      </c>
      <c r="H18" s="84" t="s">
        <v>209</v>
      </c>
    </row>
    <row r="19" spans="1:8" ht="89.25">
      <c r="A19" s="41" t="s">
        <v>209</v>
      </c>
      <c r="B19" s="41">
        <v>10</v>
      </c>
      <c r="C19" s="42" t="str">
        <f>Item10!B3</f>
        <v>FORNO DE MICRO-ONDAS, com as seguintes especificações:
• Capacidade (câmara do alimento) entre 30 e 35 litros;
• Voltagem: 220 V;
• Prato giratório removível;
• Display e menu com funções em português;
• Trava de segurança.
• Selo Procel A</v>
      </c>
      <c r="D19" s="41" t="str">
        <f>Item10!C3</f>
        <v>unidade</v>
      </c>
      <c r="E19" s="41">
        <f>Item10!D3</f>
        <v>30</v>
      </c>
      <c r="F19" s="43">
        <f>Item10!E3</f>
        <v>722.5</v>
      </c>
      <c r="G19" s="43">
        <f t="shared" si="0"/>
        <v>21675</v>
      </c>
      <c r="H19" s="84" t="s">
        <v>209</v>
      </c>
    </row>
    <row r="20" spans="1:8" ht="127.5">
      <c r="A20" s="41" t="s">
        <v>209</v>
      </c>
      <c r="B20" s="41">
        <v>11</v>
      </c>
      <c r="C20" s="42" t="str">
        <f>Item11!B3</f>
        <v>REFRIGERADOR, com as seguintes especificações:
• Tipo frigobar;
• Volume interno total: 75 a 95 litros;
• Selo Procel Classe A;
• Tensão elétrica: 127 V;
• Degelo automático ou bandeja de degelo;
• Prateleiras removíveis;
• Portas reversíveis;
• Controle de temperatura;
• Cor branca.</v>
      </c>
      <c r="D20" s="41" t="str">
        <f>Item11!C3</f>
        <v>unidade</v>
      </c>
      <c r="E20" s="41">
        <f>Item11!D3</f>
        <v>15</v>
      </c>
      <c r="F20" s="43">
        <f>Item11!E3</f>
        <v>1335.5</v>
      </c>
      <c r="G20" s="43">
        <f t="shared" si="0"/>
        <v>20032.5</v>
      </c>
      <c r="H20" s="84" t="s">
        <v>209</v>
      </c>
    </row>
    <row r="21" spans="1:8" ht="127.5">
      <c r="A21" s="41" t="s">
        <v>209</v>
      </c>
      <c r="B21" s="41">
        <v>12</v>
      </c>
      <c r="C21" s="42" t="str">
        <f>Item12!B3</f>
        <v>REFRIGERADOR, com as seguintes especificações:
• Tipo frigobar;
• Volume interno total: 75 a 95 litros;
• Selo Procel Classe A;
• Tensão elétrica: 220V;
• Degelo automático ou bandeja de degelo;
• Prateleiras removíveis;
• Portas reversíveis;
• Controle de temperatura;
• Cor branca.</v>
      </c>
      <c r="D21" s="41" t="str">
        <f>Item12!C3</f>
        <v>unidade</v>
      </c>
      <c r="E21" s="41">
        <f>Item12!D3</f>
        <v>40</v>
      </c>
      <c r="F21" s="43">
        <f>Item12!E3</f>
        <v>1227.92</v>
      </c>
      <c r="G21" s="43">
        <f t="shared" si="0"/>
        <v>49116.800000000003</v>
      </c>
      <c r="H21" s="84" t="s">
        <v>209</v>
      </c>
    </row>
    <row r="22" spans="1:8" ht="153">
      <c r="A22" s="41" t="s">
        <v>209</v>
      </c>
      <c r="B22" s="41">
        <v>13</v>
      </c>
      <c r="C22" s="42" t="str">
        <f>Item13!B3</f>
        <v>BEBEDOURO DE COLUNA, com as seguintes especificações:
• Tipo garrafão;
• Selo de conformidade Inmetro;
• Acomodação para garrafão de 10 e 20 litros;
• Capacidade de fornecimento de água gelada : 0,90 l/h ou superior;
• Tensão elétrica: 127V ou bivolt;
• Gabinete com laterais confeccionadas em aço carbono galvanizado, chapa eletrozincada ou inox;
• Pingadeira com tampo removível;
• Acionamento para água gelada e natural;
• Gás refrigerante ecológico.
• Cor branca ou inox
• Em conformidade com a norma ABNT NBR 16236:2013 (Versão corrigida) ou mais recente.</v>
      </c>
      <c r="D22" s="41" t="str">
        <f>Item13!C3</f>
        <v>unidade</v>
      </c>
      <c r="E22" s="41">
        <f>Item13!D3</f>
        <v>100</v>
      </c>
      <c r="F22" s="43">
        <f>Item13!E3</f>
        <v>614.79999999999995</v>
      </c>
      <c r="G22" s="43">
        <f t="shared" si="0"/>
        <v>61479.999999999993</v>
      </c>
      <c r="H22" s="84" t="s">
        <v>209</v>
      </c>
    </row>
    <row r="23" spans="1:8" ht="153">
      <c r="A23" s="41" t="s">
        <v>209</v>
      </c>
      <c r="B23" s="41">
        <v>14</v>
      </c>
      <c r="C23" s="42" t="str">
        <f>Item14!B3</f>
        <v>BEBEDOURO DE COLUNA, com as seguintes especificações:
• Tipo garrafão;
• Selo de conformidade Inmetro;
• Acomodação para garrafão de 10 e 20 litros;
• Capacidade de fornecimento de água gelada : 0,90 l/h ou superior;
• Tensão elétrica: 220V ou bivolt;
• Gabinete com laterais confeccionadas em aço carbono galvanizado, chapa eletrozincada ou inox;
• Pingadeira com tampo removível;
• Acionamento para água gelada e natural;
• Gás refrigerante ecológico.
• Cor branca ou inox
• Em conformidade com a norma ABNT NBR 16236:2013 (Versão corrigida) ou mais recente</v>
      </c>
      <c r="D23" s="41" t="str">
        <f>Item14!C3</f>
        <v>unidade</v>
      </c>
      <c r="E23" s="41">
        <f>Item14!D3</f>
        <v>50</v>
      </c>
      <c r="F23" s="43">
        <f>Item14!E3</f>
        <v>594.46</v>
      </c>
      <c r="G23" s="43">
        <f t="shared" si="0"/>
        <v>29723</v>
      </c>
      <c r="H23" s="84" t="s">
        <v>209</v>
      </c>
    </row>
    <row r="24" spans="1:8" ht="140.25">
      <c r="A24" s="41" t="s">
        <v>209</v>
      </c>
      <c r="B24" s="41">
        <v>15</v>
      </c>
      <c r="C24" s="42" t="str">
        <f>Item15!B3</f>
        <v>BEBEDOURO DE COLUNA TIPO
PRESSÃO, com as seguintes especificações:
• Certificado pelo Inmetro;
• Tensão Elétrica 127V;
• Gabinete com laterais confeccionada em aço;
• Com 2 torneiras de pressão em latão cromado, uma para jato outra para copo;
• Pia em aço inoxidável;
• Filtro de água com carvão ativado, para reter partículas sólidas e gosto de cloro;
• Capacidade de refrigeração para atendimento médio de 20 pessoas/hora.
• Gás refrigerante ecológico.
• Em conformidade com a norma ABNT NBR 16236:2013 (Versão corrigida) ou mais recente</v>
      </c>
      <c r="D24" s="41" t="str">
        <f>Item15!C3</f>
        <v>unidade</v>
      </c>
      <c r="E24" s="41">
        <f>Item15!D3</f>
        <v>40</v>
      </c>
      <c r="F24" s="43">
        <f>Item15!E3</f>
        <v>855.4</v>
      </c>
      <c r="G24" s="43">
        <f t="shared" si="0"/>
        <v>34216</v>
      </c>
      <c r="H24" s="84" t="s">
        <v>209</v>
      </c>
    </row>
    <row r="25" spans="1:8" ht="140.25">
      <c r="A25" s="41" t="s">
        <v>209</v>
      </c>
      <c r="B25" s="41">
        <v>16</v>
      </c>
      <c r="C25" s="42" t="str">
        <f>Item16!B3</f>
        <v>BEBEDOURO DE COLUNA TIPO
PRESSÃO, com as seguintes especificações:
• Certificado pelo Inmetro;
• Tensão Elétrica 220V;
• Gabinete com laterais confeccionada em aço;
• Com 2 torneiras de pressão em latão cromado, uma para jato outra para copo;
• Pia em aço inoxidável;
• Filtro de água com carvão ativado, para reter partículas sólidas e gosto de cloro;
• Capacidade de refrigeração para atendimento médio de 20 pessoas/hora.
• Gás refrigerante ecológico.
• Em conformidade com a norma ABNT NBR 16236:2013 (Versão corrigida) ou mais recente</v>
      </c>
      <c r="D25" s="41" t="str">
        <f>Item16!C3</f>
        <v>unidade</v>
      </c>
      <c r="E25" s="41">
        <f>Item16!D3</f>
        <v>40</v>
      </c>
      <c r="F25" s="43">
        <f>Item16!E3</f>
        <v>913.48</v>
      </c>
      <c r="G25" s="43">
        <f t="shared" si="0"/>
        <v>36539.199999999997</v>
      </c>
      <c r="H25" s="84" t="s">
        <v>209</v>
      </c>
    </row>
    <row r="26" spans="1:8" ht="89.25">
      <c r="A26" s="41" t="s">
        <v>209</v>
      </c>
      <c r="B26" s="41">
        <v>17</v>
      </c>
      <c r="C26" s="42" t="str">
        <f>Item17!B3</f>
        <v>VENTILADOR DE COLUNA, com as seguintes especificações:
• Grade de metal;
• Diâmetro da grade: 65 cm, admitida variação de ± 5 cm;
• Tensão: bivolt;
• Coluna regulável, com altura mínima de 1,5m na posição distendida;
• Mecanismo oscilante e controle de velocidade.
• Garantia de, no mínimo, 360 dias.</v>
      </c>
      <c r="D26" s="41" t="str">
        <f>Item17!C3</f>
        <v>unidade</v>
      </c>
      <c r="E26" s="41">
        <f>Item17!D3</f>
        <v>50</v>
      </c>
      <c r="F26" s="43">
        <f>Item17!E3</f>
        <v>626.12</v>
      </c>
      <c r="G26" s="43">
        <f t="shared" si="0"/>
        <v>31306</v>
      </c>
      <c r="H26" s="84" t="s">
        <v>209</v>
      </c>
    </row>
    <row r="27" spans="1:8" ht="127.5">
      <c r="A27" s="41" t="s">
        <v>209</v>
      </c>
      <c r="B27" s="41">
        <v>18</v>
      </c>
      <c r="C27" s="42" t="str">
        <f>Item18!B3</f>
        <v>REFRIGERADOR, com as seguintes especificações:
• Volume interno total: mínimo de 340 litros;
• Selo Procel Classe A;
• Tensão elétrica: 127 V;
• Frost free;
• Prateleiras removíveis;
• Portas reversíveis;
• Controle de temperatura;
• Fluído refrigerante ecológico
• Cor branca.</v>
      </c>
      <c r="D27" s="41" t="str">
        <f>Item18!C3</f>
        <v>unidade</v>
      </c>
      <c r="E27" s="41">
        <f>Item18!D3</f>
        <v>20</v>
      </c>
      <c r="F27" s="43">
        <f>Item18!E3</f>
        <v>2638.59</v>
      </c>
      <c r="G27" s="43">
        <f t="shared" si="0"/>
        <v>52771.8</v>
      </c>
      <c r="H27" s="84" t="s">
        <v>209</v>
      </c>
    </row>
    <row r="28" spans="1:8" ht="127.5">
      <c r="A28" s="41" t="s">
        <v>209</v>
      </c>
      <c r="B28" s="41">
        <v>19</v>
      </c>
      <c r="C28" s="42" t="str">
        <f>Item19!B3</f>
        <v>REFRIGERADOR, com as seguintes especificações:
• Volume interno total: mínimo de 340 litros;
• Selo Procel Classe A;
• Tensão elétrica: 220 V;
• Frost free;
• Prateleiras removíveis;
• Portas reversíveis;
• Controle de temperatura;
• Fluído refrigerante ecológico
• Cor branca.</v>
      </c>
      <c r="D28" s="41" t="str">
        <f>Item19!C3</f>
        <v>unidade</v>
      </c>
      <c r="E28" s="41">
        <f>Item19!D3</f>
        <v>10</v>
      </c>
      <c r="F28" s="43">
        <f>Item19!E3</f>
        <v>2813.67</v>
      </c>
      <c r="G28" s="43">
        <f t="shared" si="0"/>
        <v>28136.7</v>
      </c>
      <c r="H28" s="84" t="s">
        <v>209</v>
      </c>
    </row>
    <row r="29" spans="1:8" ht="114.75">
      <c r="A29" s="41" t="s">
        <v>209</v>
      </c>
      <c r="B29" s="41">
        <v>20</v>
      </c>
      <c r="C29" s="42" t="str">
        <f>Item20!B3</f>
        <v>FREEZER VERTICAL FROST FREE, com as
seguintes especificações:
• Capacidade : mínimo de 200 litros;
• Selo Procel classe A;
• Fluído refrigerante ecológico;
• Com gavetas removíveis;
• Controle de temperatura;
• Tensão elétrica: 127 V;
• Cor branca.</v>
      </c>
      <c r="D29" s="41" t="str">
        <f>Item20!C3</f>
        <v>unidade</v>
      </c>
      <c r="E29" s="41">
        <f>Item20!D3</f>
        <v>3</v>
      </c>
      <c r="F29" s="43">
        <f>Item20!E3</f>
        <v>3199.84</v>
      </c>
      <c r="G29" s="43">
        <f t="shared" si="0"/>
        <v>9599.52</v>
      </c>
      <c r="H29" s="84" t="s">
        <v>209</v>
      </c>
    </row>
    <row r="30" spans="1:8" ht="114.75">
      <c r="A30" s="41" t="s">
        <v>209</v>
      </c>
      <c r="B30" s="41">
        <v>21</v>
      </c>
      <c r="C30" s="42" t="str">
        <f>Item21!B3</f>
        <v>FREEZER VERTICAL FROST FREE, com as
seguintes especificações:
• Capacidade: mínimo de 200 litros;
• Selo Procel classe A;
• Fluído refrigerante ecológico;
• Com gavetas removíveis;
• Controle de temperatura;
• Tensão elétrica: 220 V;
• Cor branca.</v>
      </c>
      <c r="D30" s="41" t="str">
        <f>Item21!C3</f>
        <v>unidade</v>
      </c>
      <c r="E30" s="41">
        <f>Item21!D3</f>
        <v>3</v>
      </c>
      <c r="F30" s="43">
        <f>Item21!E3</f>
        <v>3259.4</v>
      </c>
      <c r="G30" s="43">
        <f t="shared" si="0"/>
        <v>9778.2000000000007</v>
      </c>
      <c r="H30" s="84" t="s">
        <v>209</v>
      </c>
    </row>
    <row r="31" spans="1:8" ht="89.25">
      <c r="A31" s="41" t="s">
        <v>209</v>
      </c>
      <c r="B31" s="41">
        <v>22</v>
      </c>
      <c r="C31" s="42" t="str">
        <f>Item22!B3</f>
        <v>VENTILADOR DE PAREDE, com as seguintes especificações:
• Grade de metal;
• Diâmetro da grade: 100 cm, admitida variação de ± 5 cm;
• Rotação mínima: 1000 r.p.m.
• Tensão: bivolt ou 110 volt;
• Regulagem de inclinação.
• Garantia de, no mínimo, 360 dias</v>
      </c>
      <c r="D31" s="41" t="str">
        <f>Item22!C3</f>
        <v>unidade</v>
      </c>
      <c r="E31" s="41">
        <f>Item22!D3</f>
        <v>40</v>
      </c>
      <c r="F31" s="43">
        <f>Item22!E3</f>
        <v>976.95</v>
      </c>
      <c r="G31" s="43">
        <f t="shared" si="0"/>
        <v>39078</v>
      </c>
      <c r="H31" s="84" t="s">
        <v>209</v>
      </c>
    </row>
    <row r="32" spans="1:8" ht="89.25">
      <c r="A32" s="41" t="s">
        <v>209</v>
      </c>
      <c r="B32" s="41">
        <v>23</v>
      </c>
      <c r="C32" s="42" t="str">
        <f>Item23!B3</f>
        <v>VENTILADOR DE PAREDE, com as seguintes especificações:
• Grade de metal;
• Diâmetro da grade: 100 cm, admitida variação de ± 5 cm;
• Rotação mínima: 1000 r.p.m.
• Tensão: bivolt ou 220 volt;
• Regulagem de inclinação.
• Garantia de, no mínimo, 360 dias</v>
      </c>
      <c r="D32" s="41" t="str">
        <f>Item23!C3</f>
        <v>unidade</v>
      </c>
      <c r="E32" s="41">
        <f>Item23!D3</f>
        <v>40</v>
      </c>
      <c r="F32" s="43">
        <f>Item23!E3</f>
        <v>1016.34</v>
      </c>
      <c r="G32" s="43">
        <f t="shared" si="0"/>
        <v>40653.599999999999</v>
      </c>
      <c r="H32" s="84" t="s">
        <v>209</v>
      </c>
    </row>
    <row r="33" spans="1:8" ht="114.75">
      <c r="A33" s="41" t="s">
        <v>209</v>
      </c>
      <c r="B33" s="41">
        <v>24</v>
      </c>
      <c r="C33" s="42" t="str">
        <f>Item24!B3</f>
        <v>CAFETEIRA ELÉTRICA INDUSTRIAL, com as seguintes características;
• Depósito em aço inox;
• Capacidade para 20 litros de café pronto;
• Termostato regulável na faixa de 20º C a 120º C.
• Tensão elétrica: 220 v;
• Potência mínima de aquecimento: 4000 W;
• Acompanha coador de pano.
• Garantia de, no mínimo, 90 dias.</v>
      </c>
      <c r="D33" s="41" t="str">
        <f>Item24!C3</f>
        <v>unidade</v>
      </c>
      <c r="E33" s="41">
        <f>Item24!D3</f>
        <v>5</v>
      </c>
      <c r="F33" s="43">
        <f>Item24!E3</f>
        <v>2530.27</v>
      </c>
      <c r="G33" s="43">
        <f t="shared" si="0"/>
        <v>12651.35</v>
      </c>
      <c r="H33" s="84" t="s">
        <v>209</v>
      </c>
    </row>
    <row r="34" spans="1:8" ht="127.5">
      <c r="A34" s="41" t="s">
        <v>209</v>
      </c>
      <c r="B34" s="41">
        <v>25</v>
      </c>
      <c r="C34" s="42" t="str">
        <f>Item25!B3</f>
        <v>LIQUIDIFICADOR INDUSTRIAL, com as seguintes características;
• Com gabinete/corpo e copo em inox;
• Capacidade do copo: 1,5 a 2 litros;
• Com tecla/botão liga/desliga
• Com função pulsar
• Base antiderrapante;
• Potência: 800 W ou superior
• Tensão elétrica: 127 V
• Garantia de, no mínimo, 180 dias.</v>
      </c>
      <c r="D34" s="41" t="str">
        <f>Item25!C3</f>
        <v>unidade</v>
      </c>
      <c r="E34" s="41">
        <f>Item25!D3</f>
        <v>4</v>
      </c>
      <c r="F34" s="43">
        <f>Item25!E3</f>
        <v>469.94</v>
      </c>
      <c r="G34" s="43">
        <f t="shared" si="0"/>
        <v>1879.76</v>
      </c>
      <c r="H34" s="84" t="s">
        <v>209</v>
      </c>
    </row>
    <row r="35" spans="1:8" ht="127.5">
      <c r="A35" s="41" t="s">
        <v>209</v>
      </c>
      <c r="B35" s="41">
        <v>26</v>
      </c>
      <c r="C35" s="42" t="str">
        <f>Item26!B3</f>
        <v>LIQUIDIFICADOR INDUSTRIAL, com as seguintes características;
• Com gabinete/corpo e copo em inox;
• Capacidade do copo: 1,5 a 2 litros;
• Com tecla/botão liga/desliga
• Com função pulsar
• Base antiderrapante;
• Potência: 800 W ou superior
• Tensão elétrica: 220 V
• Garantia de, no mínimo, 180 dias.</v>
      </c>
      <c r="D35" s="41" t="str">
        <f>Item26!C3</f>
        <v>unidade</v>
      </c>
      <c r="E35" s="41">
        <f>Item26!D3</f>
        <v>4</v>
      </c>
      <c r="F35" s="43">
        <f>Item26!E3</f>
        <v>535.15</v>
      </c>
      <c r="G35" s="43">
        <f t="shared" si="0"/>
        <v>2140.6</v>
      </c>
      <c r="H35" s="84" t="s">
        <v>209</v>
      </c>
    </row>
    <row r="36" spans="1:8" ht="229.5">
      <c r="A36" s="41" t="s">
        <v>209</v>
      </c>
      <c r="B36" s="41">
        <v>27</v>
      </c>
      <c r="C36" s="42" t="str">
        <f>Item27!B3</f>
        <v>ADAPTADOR PARA TELEFONE ANALÓGICO (ATA)
• 1 porta WAN 100BASE-T RJ-45 Porta Ethernet (IEEE 802.3)
• 1 porta LAN 100 BASE-T RJ-45 Porta Ethertnet (IEEE 802.3)
• 2 portas de telefonia FXS RJ11, com 2 números de telefones independentes;
• Saídas de telefone compatíveis com telefones comuns com e sem fio, ou aparelhos de FAX
• Compatibilidade com protocolo SIP 2.0 (RFC 3261)
• Codesc de voz: G.711, G.726, G.723.1, G.729A/B
• Suporte DTMF (RFC2833 e SIP INFO) e FSK
• Passagem de Fax G711 e T.38
• Suporte à supressão de silêncio, cancelamento de eco (G.165, G167, e G168), CNG (geração de ruído de conforto) e PLC (cancelamento de perda de pacote)
• Configuração de rede: estática, DHCP ou PPPoE (ADSL)
• Configurável através do navegador
• Compatível com as funções telefônicas: identificação de chamada, chamada em espera, correio de voz, etc
• Alimentação através de fonte externa bivolt automática
• Referência: Intelbras GKM 2210T, CISCO SPA 122, GRANDSTREAM NAT HT812</v>
      </c>
      <c r="D36" s="41" t="str">
        <f>Item27!C3</f>
        <v>unidade</v>
      </c>
      <c r="E36" s="41">
        <f>Item27!D3</f>
        <v>75</v>
      </c>
      <c r="F36" s="43">
        <f>Item27!E3</f>
        <v>403.18</v>
      </c>
      <c r="G36" s="43">
        <f t="shared" si="0"/>
        <v>30238.5</v>
      </c>
      <c r="H36" s="84" t="s">
        <v>209</v>
      </c>
    </row>
    <row r="37" spans="1:8" ht="89.25">
      <c r="A37" s="41" t="s">
        <v>209</v>
      </c>
      <c r="B37" s="41">
        <v>28</v>
      </c>
      <c r="C37" s="42" t="str">
        <f>Item28!B3</f>
        <v>ANTENA INTERNA PARA TV DIGITAL
• Cabo de no mínimo 2,5 metros.
• Capta sinais UHF/HDTV
• Conector F macho
• Cor preta</v>
      </c>
      <c r="D37" s="41" t="str">
        <f>Item28!C3</f>
        <v>unidade</v>
      </c>
      <c r="E37" s="41">
        <f>Item28!D3</f>
        <v>50</v>
      </c>
      <c r="F37" s="43">
        <f>Item28!E3</f>
        <v>22.27</v>
      </c>
      <c r="G37" s="43">
        <f t="shared" si="0"/>
        <v>1113.5</v>
      </c>
      <c r="H37" s="84" t="s">
        <v>209</v>
      </c>
    </row>
    <row r="38" spans="1:8" ht="409.5">
      <c r="A38" s="46" t="s">
        <v>209</v>
      </c>
      <c r="B38" s="46">
        <v>29</v>
      </c>
      <c r="C38" s="47" t="str">
        <f>Item29!B3</f>
        <v>PROJETOR DE VIDEO LASER  6000 lúmens.
• Tipo do display: Poly-silicon TFT matriz ativa
Resolução nativa: 1920 x 1200 pixels WUXGA
• Modo de projeção: Frontal, Frontal/Teto, Traseiro, Traseiro/Teto.
• Painel LCD: 0,67" (D10 com C2Fine™).
• Número de pixels: 2.304.000 pixels (1920x1200) x 3
• Brilho em cores - Saída de luz colorida: 6.000 lumens (ISSO 21118 padrão)
• Brilho em branco - Saída de luz branca: 6.000 lumens
• Razão de aspecto: 16:10
• Resolução nativa: 1920x1200 (WUXGA)
• Alcance do Throw-Ratio: 1,35–2,2
• Dimensões da imagem: 48” (1,22m) a 470” (7,11m)
• Correção de Keystone: Vertical: ±30 graus; Horizontal: ±30 graus.
• Razão de contraste: até 2.500.000:1 com modo dinâmico de cores, modo normal de fonte de luz e modo wide zoom
• Alcance de mudança da lente: Vertical: ±50 graus; Horizontal: ±20 graus.
• Processamento de cor: 10 bits
• Reprodução de cor: até 1,07 bilhão de cores
• Tipo de laser: laser diodo
• Potencia de saída da fonte de luz: até 104,5W
• Comprimento de onda: 449 a 491nm
• Duração da fonte de luz laser: Normal: 20.000 horas; Silencioso: 20.000 horas; Estendido: 30.000 horas
• Lente de projeção standard: F=1.5 a 1.7
• Distância focal: 20.0 a 31.8 mm
• Interfaces:
                    HDBaseT x1
HDMI x2
Analógico: D-sub 15 pin x1
Controle I/O: RS-232C (D-sub 9 pin)
USB-I/O: Tipo A x1; Tipo B x1
LAN RJ45 x1
Wireless LAN (acessório opcional) USB Tipo A x1
Entrada de Áudio (stereo): x2
Saída de Áudio (stereo): x1
                     Ruído do ventilador: 37dB (Modo Normal), 25dB (Modo ECO)0
• Energia:
Voltagem: 100 – 240VAC ±10%, 50/60Hz
Voltagem nominal: 100 – 240VAC
Frequência nominal: 50/60Hz
Consumo de energia:
Normal: 353W
Silencioso: 254W
Standby em Rede 2,0W
• Acessório:
Suporte articulado para montagem em mastro fixo no teto (ceiling-mount) conforme
modelo/fabricante.
Equipamento especificado: Epson, Panasonic, Christie ou equivalente técnico.</v>
      </c>
      <c r="D38" s="46" t="str">
        <f>Item29!C3</f>
        <v>unidade</v>
      </c>
      <c r="E38" s="46">
        <f>Item29!D3</f>
        <v>3</v>
      </c>
      <c r="F38" s="48">
        <f>Item29!E3</f>
        <v>30796.38</v>
      </c>
      <c r="G38" s="48">
        <f t="shared" si="0"/>
        <v>92389.14</v>
      </c>
      <c r="H38" s="85" t="s">
        <v>209</v>
      </c>
    </row>
    <row r="39" spans="1:8" ht="409.5">
      <c r="A39" s="41" t="s">
        <v>209</v>
      </c>
      <c r="B39" s="41">
        <v>30</v>
      </c>
      <c r="C39" s="42" t="str">
        <f>Item30!B3</f>
        <v>Vídeo Wall Controlador 2X2, 4K, 4 Telas, USB, HDMI
Resolução:
Entrada suporta: 3840 x 2160 com 30Hz.
Saída Suporta: 1920 x 1080 com 30Hz .
Funcionalidades :
Suporta até 4 Telas diferentes, permite várias combinações de exibição no display.
Indicador luminoso de funcionamento: LED vermelho para ligado e LED verde significa conexão bem-sucedida com o monitor.
Botão que altera o modo de exibição no painel. Mudança também pode ser feita pelo controle remoto.
Botão no painel para seleção rápida da fonte de sinal HDMI (entrada/saída).
Botão no painel para reset rápido e redefinição do controlador de vídeo Wall.
Porta RS232, para conexão de porta serial do controlador Uso pelo fabricante.
Leitor de cartão SD, para atualização da entrada da fonte de sinal.
Entradas 2 USB 2.0, para conexão de periféricos como Pendrives HDs externos teclado, mouse e outros.
Entrada R/L para fone de ouvido (3,5mm), saída estéreo de áudio analógico.
Acesso para fibra óptica, porta para saída de áudio digital estéreo.
Recepção de sinal infravermelho, para uso do controle remoto (IR).
Sistema “plug and play”, sem a necessidade de instalação de software adicional.</v>
      </c>
      <c r="D39" s="41" t="str">
        <f>Item30!C3</f>
        <v>unidade</v>
      </c>
      <c r="E39" s="41">
        <f>Item30!D3</f>
        <v>3</v>
      </c>
      <c r="F39" s="43">
        <f>Item30!E3</f>
        <v>2068.67</v>
      </c>
      <c r="G39" s="43">
        <f t="shared" si="0"/>
        <v>6206.01</v>
      </c>
      <c r="H39" s="84" t="s">
        <v>209</v>
      </c>
    </row>
    <row r="40" spans="1:8" ht="178.5">
      <c r="A40" s="41" t="s">
        <v>209</v>
      </c>
      <c r="B40" s="41">
        <v>31</v>
      </c>
      <c r="C40" s="42" t="str">
        <f>Item31!B3</f>
        <v>KIT DE MICROFONE SEM FIO DE MÃO, DUPLO, COM RECEPTOR UHF, com as seguintes especificações;
Acompanha 2(dois) microfones com características:
• Cápsula: Dinâmica
• Frequência de trabalho: UHF (frequências homologadas pela Anatel)
• Impedância de saída: 600 ohms
• Com sincronizador infravermelho
• Resposta frequência: 40Hz a 16KHz Potência de saída: mínimo de 10mW
• Emissão de espúrios: menor ou igual a 40dB (with carrier)
• Estabilidade de frequência: mínimo de 0,0005%
• Padrão polar Super Cardioide
• Alimentação dos microfones: a pilhas AA ou 9V
• Corpo em metal</v>
      </c>
      <c r="D40" s="41" t="str">
        <f>Item31!C3</f>
        <v>unidade</v>
      </c>
      <c r="E40" s="41">
        <f>Item31!D3</f>
        <v>6</v>
      </c>
      <c r="F40" s="43">
        <f>Item31!E3</f>
        <v>515.37</v>
      </c>
      <c r="G40" s="43">
        <f t="shared" si="0"/>
        <v>3092.2200000000003</v>
      </c>
      <c r="H40" s="84" t="s">
        <v>209</v>
      </c>
    </row>
    <row r="41" spans="1:8" ht="229.5">
      <c r="A41" s="86" t="s">
        <v>210</v>
      </c>
      <c r="B41" s="46">
        <v>32</v>
      </c>
      <c r="C41" s="47" t="str">
        <f>Item32!B3</f>
        <v>PURIFICADOR DE ÁGUA, com as
seguintes características:
• Tensão Elétrica: 127 volts
• Fornecimento de água em, no mínimo, 02 (duas) temperaturas: natural e gelada.
• Refrigeração feita por compressor.
• Para uso fixado na parede ou em bancada.
• Que possibilite fácil substituição do refil pelo próprio usuário, sem a necessidade de ferramentas (sistema “girou trocou”, “troca fácil”, apenas um botão ou similar).
• Elemento filtrante com capacidade de redução de cloro livre, retenção de partículas Classe C ou superior, e eliminação de odores e sabores presentes na água.
• Capacidade de fornecimento de água gelada de, no mínimo, 0,5 L/H, conforme norma ABNT NBR 16236/2013 Versão corrigida ou mais recente.
• Ligado na água da rede.
• Fluido refrigerante ecológico.
• Vida útil do filtro de, no mínimo 06 (seis) meses.
• Selo Inmetro
• Cor branca, cinza, prata ou preta.
• Garantia de no mínimo 6 meses.</v>
      </c>
      <c r="D41" s="46" t="str">
        <f>Item32!C3</f>
        <v>unidade</v>
      </c>
      <c r="E41" s="46">
        <f>Item32!D3</f>
        <v>50</v>
      </c>
      <c r="F41" s="48">
        <f>Item32!E3</f>
        <v>612.59</v>
      </c>
      <c r="G41" s="48">
        <f t="shared" si="0"/>
        <v>30629.5</v>
      </c>
      <c r="H41" s="89">
        <f>SUM(G41:G43)</f>
        <v>109231.5</v>
      </c>
    </row>
    <row r="42" spans="1:8" ht="229.5">
      <c r="A42" s="87"/>
      <c r="B42" s="46">
        <v>33</v>
      </c>
      <c r="C42" s="47" t="str">
        <f>Item33!B3</f>
        <v>PURIFICADOR DE ÁGUA, com as
seguintes características:
• Tensão Elétrica: 220 volts.
• Fornecimento de água em, no mínimo, 02 (duas) temperaturas: natural e gelada.
• Refrigeração feita por compressor.
• Para uso fixado na parede ou em bancada.
• Que possibilite fácil substituição do refil pelo próprio usuário, sem a necessidade de ferramentas (sistema “girou trocou”, “troca fácil”, apenas um botão ou similar).
• Elemento filtrante com capacidade de redução de cloro livre, retenção de partículas Classe C ou superior, e eliminação de odores e sabores presentes na água.
• Capacidade de fornecimento de água gelada de, no mínimo, 0,5 L/H, conforme norma ABNT NBR 16236/2013 Versão corrigida ou mais recente.
• Ligado na água da rede.
• Fluido refrigerante ecológico.
• Vida útil do filtro de, no mínimo 06 (seis) meses.
• Selo Inmetro
• Cor branca, cinza, prata ou preta.
• Garantia de no mínimo 6 meses.</v>
      </c>
      <c r="D42" s="46" t="str">
        <f>Item33!C3</f>
        <v>unidade</v>
      </c>
      <c r="E42" s="46">
        <f>Item33!D3</f>
        <v>100</v>
      </c>
      <c r="F42" s="48">
        <f>Item33!E3</f>
        <v>547.1</v>
      </c>
      <c r="G42" s="48">
        <f t="shared" ref="G42:G47" si="1">(ROUND(F42,2)*E42)</f>
        <v>54710</v>
      </c>
      <c r="H42" s="90"/>
    </row>
    <row r="43" spans="1:8" ht="51">
      <c r="A43" s="88"/>
      <c r="B43" s="46">
        <v>34</v>
      </c>
      <c r="C43" s="47" t="str">
        <f>Item34!B3</f>
        <v>Refil para Purificador de água, com as seguintes características mínimas:
• Compatível com purificadores de água indicados nos itens 32 e 33
• Com capacidade de redução de cloro livre, retenção de partículas Classe C ou superior e eliminação de odores e sabores presentes na água.</v>
      </c>
      <c r="D43" s="46" t="str">
        <f>Item34!C3</f>
        <v>unidade</v>
      </c>
      <c r="E43" s="46">
        <f>Item34!D3</f>
        <v>400</v>
      </c>
      <c r="F43" s="48">
        <f>Item34!E3</f>
        <v>59.73</v>
      </c>
      <c r="G43" s="48">
        <f t="shared" si="1"/>
        <v>23892</v>
      </c>
      <c r="H43" s="91"/>
    </row>
    <row r="44" spans="1:8" ht="216.75">
      <c r="A44" s="46" t="s">
        <v>209</v>
      </c>
      <c r="B44" s="46">
        <v>35</v>
      </c>
      <c r="C44" s="47" t="str">
        <f>Item35!B3</f>
        <v>APARELHOS TELEFÔNICOS IP, com as seguintes características:
• Display alfanumérico;
• Teclado com as funções viva-voz, mute, redial e flash;
• 2 (duas) interfaces ethernet, modelo RJ- 45/10/100baseT uma para conexão com a rede e outra para conexão com o PC;
• Suporte aos CODECs de áudio: G711-A, G711-U, G722, G.726 e G.729 A/B;
• Suporte ao protocolo SIP
• Suporte a pelo menos uma conta SIP
• Suporte e Gerenciamento SNMP
• Qualidade do Serviço: Nível 2 (IEEE 802.1p/Q) e Nível 3 (Dlffsen);
• CPU: Memória Flash de, no mínimo, 4 Mbytes e SDRAM de, no mínimo, 8 Mbytes;
•  Modo de Configuração: Via display e via interface WEB;
• Alimentação Externa 110 ~ 220 VAC, inclusive com Poe (Power Over Internet) integrado;
• Manual em português;
• Cor preta, argila ou grafite;
• Referência: GRANDSTREAM GXP 1615/1625, Intelbras TIP125 ou Yealink T19P.</v>
      </c>
      <c r="D44" s="46" t="str">
        <f>Item35!C3</f>
        <v>unidade</v>
      </c>
      <c r="E44" s="46">
        <f>Item35!D3</f>
        <v>375</v>
      </c>
      <c r="F44" s="48">
        <f>Item35!E3</f>
        <v>339.68</v>
      </c>
      <c r="G44" s="48">
        <f t="shared" si="1"/>
        <v>127380</v>
      </c>
      <c r="H44" s="85" t="s">
        <v>209</v>
      </c>
    </row>
    <row r="45" spans="1:8" ht="127.5">
      <c r="A45" s="46" t="s">
        <v>209</v>
      </c>
      <c r="B45" s="46">
        <v>36</v>
      </c>
      <c r="C45" s="47" t="str">
        <f>Item36!B3</f>
        <v>REFRIGERADOR, com as seguintes especificações:
• Tipo frigobar;
• Volume interno total: 75 a 95 litros;
• Selo Procel Classe A;
• Tensão elétrica: 127 V;
• Degelo automático ou bandeja de degelo;
• Prateleiras removíveis;
• Portas reversíveis;
• Controle de temperatura;
• Cor branca.</v>
      </c>
      <c r="D45" s="46" t="str">
        <f>Item36!C3</f>
        <v>unidade</v>
      </c>
      <c r="E45" s="46">
        <f>Item36!D3</f>
        <v>45</v>
      </c>
      <c r="F45" s="48">
        <f>Item36!E3</f>
        <v>1335.5</v>
      </c>
      <c r="G45" s="48">
        <f t="shared" si="1"/>
        <v>60097.5</v>
      </c>
      <c r="H45" s="85" t="s">
        <v>209</v>
      </c>
    </row>
    <row r="46" spans="1:8" ht="89.25">
      <c r="A46" s="46" t="s">
        <v>209</v>
      </c>
      <c r="B46" s="46">
        <v>37</v>
      </c>
      <c r="C46" s="47" t="str">
        <f>Item37!B3</f>
        <v>VENTILADOR DE COLUNA, com as seguintes especificações:
• Grade de metal;
• Diâmetro da grade: 65 cm, admitida variação de ± 5 cm;
• Tensão: bivolt;
• Coluna regulável, com altura mínima de 1,5m na posição distendida;
• Mecanismo oscilante e controle de velocidade.
• Garantia de, no mínimo, 360 dias.</v>
      </c>
      <c r="D46" s="46" t="str">
        <f>Item37!C3</f>
        <v>unidade</v>
      </c>
      <c r="E46" s="46">
        <f>Item37!D3</f>
        <v>150</v>
      </c>
      <c r="F46" s="48">
        <f>Item37!E3</f>
        <v>626.12</v>
      </c>
      <c r="G46" s="48">
        <f t="shared" si="1"/>
        <v>93918</v>
      </c>
      <c r="H46" s="85" t="s">
        <v>209</v>
      </c>
    </row>
    <row r="47" spans="1:8" ht="229.5">
      <c r="A47" s="46" t="s">
        <v>209</v>
      </c>
      <c r="B47" s="46">
        <v>38</v>
      </c>
      <c r="C47" s="47" t="str">
        <f>Item38!B3</f>
        <v>ADAPTADOR PARA TELEFONE ANALÓGICO (ATA)
• 1 porta WAN 100BASE-T RJ-45 Porta Ethernet (IEEE 802.3)
• 1 porta LAN 100 BASE-T RJ-45 Porta Ethertnet (IEEE 802.3)
• 2 portas de telefonia FXS RJ11, com 2 números de telefones independentes;
• Saídas de telefone compatíveis com telefones comuns com e sem fio, ou aparelhos de FAX
• Compatibilidade com protocolo SIP 2.0 (RFC 3261)
• Codesc de voz: G.711, G.726, G.723.1, G.729A/B
• Suporte DTMF (RFC2833 e SIP INFO) e FSK
• Passagem de Fax G711 e T.38
• Suporte à supressão de silêncio, cancelamento de eco (G.165, G167, e G168), CNG (geração de ruído de conforto) e PLC (cancelamento de perda de pacote)
• Configuração de rede: estática, DHCP ou PPPoE (ADSL)
• Configurável através do navegador
• Compatível com as funções telefônicas: identificação de chamada, chamada em espera, correio de voz, etc
• Alimentação através de fonte externa bivolt automática
• Referência: Intelbras GKM 2210T, CISCO SPA 122, GRANDSTREAM NAT HT812</v>
      </c>
      <c r="D47" s="46" t="str">
        <f>Item38!C3</f>
        <v>unidade</v>
      </c>
      <c r="E47" s="46">
        <f>Item38!D3</f>
        <v>225</v>
      </c>
      <c r="F47" s="48">
        <f>Item38!E3</f>
        <v>403.18</v>
      </c>
      <c r="G47" s="48">
        <f t="shared" si="1"/>
        <v>90715.5</v>
      </c>
      <c r="H47" s="85" t="s">
        <v>209</v>
      </c>
    </row>
    <row r="48" spans="1:8" ht="15.75">
      <c r="B48" s="38"/>
      <c r="C48" s="38"/>
      <c r="D48" s="75" t="s">
        <v>20</v>
      </c>
      <c r="E48" s="76"/>
      <c r="F48" s="77"/>
      <c r="G48" s="39">
        <f>SUM(G10:G47)</f>
        <v>1281274.6499999999</v>
      </c>
    </row>
  </sheetData>
  <mergeCells count="4">
    <mergeCell ref="D48:F48"/>
    <mergeCell ref="H41:H43"/>
    <mergeCell ref="A41:A43"/>
    <mergeCell ref="A8:H8"/>
  </mergeCells>
  <pageMargins left="0.51181102362204722" right="0.51181102362204722" top="0.78740157480314965" bottom="0.78740157480314965" header="0.31496062992125984" footer="0.31496062992125984"/>
  <pageSetup paperSize="9" scale="73" fitToHeight="0" orientation="landscape" r:id="rId1"/>
  <headerFooter>
    <oddFooter>&amp;L&amp;"Calibri,Regular"Estimativa em &amp;D</oddFooter>
  </headerFooter>
  <rowBreaks count="3" manualBreakCount="3">
    <brk id="39" max="7" man="1"/>
    <brk id="40" max="7" man="1"/>
    <brk id="46" max="7" man="1"/>
  </rowBreaks>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9"/>
  <sheetViews>
    <sheetView view="pageBreakPreview" zoomScaleNormal="100" zoomScaleSheetLayoutView="100" workbookViewId="0">
      <selection activeCell="E88" sqref="E88"/>
    </sheetView>
  </sheetViews>
  <sheetFormatPr defaultRowHeight="12.75"/>
  <cols>
    <col min="1" max="1" width="9.140625" style="1"/>
    <col min="2" max="2" width="86.85546875" style="1" customWidth="1"/>
    <col min="3" max="4" width="13.28515625" style="45" customWidth="1"/>
    <col min="5" max="5" width="13.28515625" style="1" customWidth="1"/>
    <col min="6" max="6" width="17.42578125" style="1" bestFit="1" customWidth="1"/>
    <col min="7" max="14" width="9.140625" style="2"/>
    <col min="15" max="16384" width="9.140625" style="1"/>
  </cols>
  <sheetData>
    <row r="1" spans="1:6" s="2" customFormat="1" ht="15.75">
      <c r="A1" s="74" t="s">
        <v>21</v>
      </c>
      <c r="B1" s="74"/>
      <c r="C1" s="74"/>
      <c r="D1" s="74"/>
      <c r="E1" s="74"/>
      <c r="F1" s="74"/>
    </row>
    <row r="2" spans="1:6" s="2" customFormat="1" ht="25.5">
      <c r="A2" s="40" t="s">
        <v>15</v>
      </c>
      <c r="B2" s="40" t="s">
        <v>16</v>
      </c>
      <c r="C2" s="40" t="s">
        <v>17</v>
      </c>
      <c r="D2" s="40" t="s">
        <v>18</v>
      </c>
      <c r="E2" s="40" t="s">
        <v>13</v>
      </c>
      <c r="F2" s="40" t="s">
        <v>19</v>
      </c>
    </row>
    <row r="3" spans="1:6" s="2" customFormat="1" ht="17.25">
      <c r="A3" s="44" t="s">
        <v>22</v>
      </c>
      <c r="B3" s="78" t="str">
        <f>Item1!G20</f>
        <v>CASAS BAHIA</v>
      </c>
      <c r="C3" s="79"/>
      <c r="D3" s="79"/>
      <c r="E3" s="79"/>
      <c r="F3" s="80"/>
    </row>
    <row r="4" spans="1:6" s="2" customFormat="1" ht="204">
      <c r="A4" s="41">
        <v>1</v>
      </c>
      <c r="B4" s="42" t="str">
        <f>Item1!B3</f>
        <v>TELEVISOR LED, com as seguintes características:
• Diagonal entre 30 a 32 polegadas;
• Conversor digital integrado;
• Cor preta.
• Fonte bivolt 110-220 V
• Conexões
 Mínimo de 1 (uma)entradas HDMI;
 Mínimo de 1 (uma) entrada USB 2.0 ou superior com capacidade de reprodução de áudio, vídeo e musicas em alta resolução direto de dispositivo USB (Pen Drive);
 Mínimo de 1(uma) entrada de áudio
            /vídeo.
 Mínimo de uma entrada RF para TV aberta.
• Controle remoto munido das pilhas necessárias para o primeiro uso.
• Acompanhado de base para uso em mesa
• Garantia de, no mínimo, 360 dias.
• Manual em português.</v>
      </c>
      <c r="C4" s="41" t="str">
        <f>Item1!C3</f>
        <v>unidade</v>
      </c>
      <c r="D4" s="41">
        <f>Item1!D3</f>
        <v>25</v>
      </c>
      <c r="E4" s="43">
        <f>Item1!F3</f>
        <v>899</v>
      </c>
      <c r="F4" s="43">
        <f>(ROUND(E4,2)*D4)</f>
        <v>22475</v>
      </c>
    </row>
    <row r="5" spans="1:6" s="2" customFormat="1" ht="17.25">
      <c r="A5" s="44" t="s">
        <v>22</v>
      </c>
      <c r="B5" s="78" t="str">
        <f>Item2!G20</f>
        <v>KABUM</v>
      </c>
      <c r="C5" s="79"/>
      <c r="D5" s="79"/>
      <c r="E5" s="79"/>
      <c r="F5" s="80"/>
    </row>
    <row r="6" spans="1:6" ht="127.5" customHeight="1">
      <c r="A6" s="41">
        <v>2</v>
      </c>
      <c r="B6" s="42" t="str">
        <f>Item2!B3</f>
        <v>SMART TV LED, com as seguintes características:
• Diagonal entre 55 a 60 polegadas;
• Cor preta.
• Resolução de imagem mínima Full HD;
• Conversor digital integrado;
• Fonte bivolt 110-220 V
Conexões
 Mínimo de 2 (duas) entradas HDMI;
 Mínimo de 1 (uma) entrada USB 2.0 ou superior com capacidade de reprodução de áudio, vídeo e musicas em alta resolução direto de dispositivo USB (Pen Drive);
 Mínimo de 1 (uma) entrada de áudio/ vídeo;
 Mínimo de uma entrada RF para TV aberta;
 Mínimo de uma entrada Ethernet(LAN);
 Wi-fi integrado.
• Controle remoto munido das pilhas necessárias;
• Alimentação bi volt: 110 – 220 v/60hz;
• Acompanhado de base para uso em mesa;
• Menu em Português.
• Garantia de, no mínimo, 360 dias.</v>
      </c>
      <c r="C6" s="41" t="str">
        <f>Item2!C3</f>
        <v>unidade</v>
      </c>
      <c r="D6" s="41">
        <f>Item2!D3</f>
        <v>5</v>
      </c>
      <c r="E6" s="43">
        <f>Item2!F3</f>
        <v>2499</v>
      </c>
      <c r="F6" s="43">
        <f>(ROUND(E6,2)*D6)</f>
        <v>12495</v>
      </c>
    </row>
    <row r="7" spans="1:6" ht="17.25">
      <c r="A7" s="44" t="s">
        <v>22</v>
      </c>
      <c r="B7" s="81" t="str">
        <f>Item3!G20</f>
        <v>CARREFOUR</v>
      </c>
      <c r="C7" s="82"/>
      <c r="D7" s="82"/>
      <c r="E7" s="82"/>
      <c r="F7" s="83"/>
    </row>
    <row r="8" spans="1:6" ht="127.5" customHeight="1">
      <c r="A8" s="41">
        <v>3</v>
      </c>
      <c r="B8" s="42" t="str">
        <f>Item3!B3</f>
        <v>APARELHO TELEFÔNICO SEM FIO, com as
seguintes características,
• Tecnologia DECT 6.0;
• Tecla localizadora de monofone;
• Tempo de flash: 300ms (trezentos milissegundos);
• Indicador de bateria fraca;
• Ajuste de volume de recepção (monofone);
• Ajuste de volume de campainha;
• Seleção tom/pulso;
• Tecla Flash, rediscar e mudo;
• Acompanha Bateria/pilha recarregável com duração de, no mínimo, 90 horas em modo repouso e mínimo de 9 horas em uso contínuo;
• Fonte bivolt 110-220 V;
• Compatível com os padrões, protocolos e sinalizações do sistema brasileiro de telecomunicações;
• Embalagem individual, em material reciclável;
• Cor preta, grafite, argila, cinza ou branca.
• Garantia de, no mínimo, 90 dias.</v>
      </c>
      <c r="C8" s="41" t="str">
        <f>Item3!C3</f>
        <v>unidade</v>
      </c>
      <c r="D8" s="41">
        <f>Item3!D3</f>
        <v>150</v>
      </c>
      <c r="E8" s="43">
        <f>Item3!F3</f>
        <v>107.9</v>
      </c>
      <c r="F8" s="43">
        <f>(ROUND(E8,2)*D8)</f>
        <v>16185</v>
      </c>
    </row>
    <row r="9" spans="1:6" ht="12.75" customHeight="1">
      <c r="A9" s="44" t="s">
        <v>22</v>
      </c>
      <c r="B9" s="81" t="str">
        <f>Item4!G20</f>
        <v>PLENA IMPORTS</v>
      </c>
      <c r="C9" s="82"/>
      <c r="D9" s="82"/>
      <c r="E9" s="82"/>
      <c r="F9" s="83"/>
    </row>
    <row r="10" spans="1:6" ht="102">
      <c r="A10" s="41">
        <v>4</v>
      </c>
      <c r="B10" s="42" t="str">
        <f>Item4!B3</f>
        <v>APARELHO TELEFÔNICO, com as seguintes características:
• Ajuste de volume de campainha;
• Seleção tom/pulso;
• Tecla Flash, rediscar, pausa e mudo;
• Tempo de flash: 300ms (trezentos milissegundos);
• Cor preta, grafite, argila ou branca;
• Compatível com os padrões, protocolos e sinalizações do sistema brasileiro de telecomunicações;
• Embalagem individual, em material reciclável.</v>
      </c>
      <c r="C10" s="41" t="str">
        <f>Item4!C3</f>
        <v>unidade</v>
      </c>
      <c r="D10" s="41">
        <f>Item4!D3</f>
        <v>250</v>
      </c>
      <c r="E10" s="43">
        <f>Item4!F3</f>
        <v>27.6</v>
      </c>
      <c r="F10" s="43">
        <f>(ROUND(E10,2)*D10)</f>
        <v>6900</v>
      </c>
    </row>
    <row r="11" spans="1:6" ht="17.25">
      <c r="A11" s="44" t="s">
        <v>22</v>
      </c>
      <c r="B11" s="78" t="str">
        <f>Item5!G20</f>
        <v>OCEANO B2B</v>
      </c>
      <c r="C11" s="79"/>
      <c r="D11" s="79"/>
      <c r="E11" s="79"/>
      <c r="F11" s="80"/>
    </row>
    <row r="12" spans="1:6" ht="216.75">
      <c r="A12" s="41">
        <v>5</v>
      </c>
      <c r="B12" s="42" t="str">
        <f>Item5!B3</f>
        <v>APARELHOS TELEFÔNICOS IP, com as seguintes características:
• Display alfanumérico;
• Teclado com as funções viva-voz, mute, redial e flash;
• 2 (duas) interfaces ethernet, modelo RJ- 45/10/100baseT uma para conexão com a rede e outra para conexão com o PC;
• Suporte aos CODECs de áudio: G711-A, G711-U, G722, G.726 e G.729 A/B;
• Suporte ao protocolo SIP
• Suporte a pelo menos uma conta SIP
• Suporte e Gerenciamento SNMP
• Qualidade do Serviço: Nível 2 (IEEE 802.1p/Q) e Nível 3 (Dlffsen);
• CPU: Memória Flash de, no mínimo, 4 Mbytes e SDRAM de, no mínimo, 8 Mbytes;
•  Modo de Configuração: Via display e via interface WEB;
• Alimentação Externa 110 ~ 220 VAC, inclusive com Poe (Power Over Internet) integrado;
• Manual em português;
• Cor preta, argila ou grafite;
• Referência: GRANDSTREAM GXP 1615/1625, Intelbras TIP125 ou Yealink T19P.</v>
      </c>
      <c r="C12" s="41" t="str">
        <f>Item5!C3</f>
        <v>unidade</v>
      </c>
      <c r="D12" s="41">
        <f>Item5!D3</f>
        <v>125</v>
      </c>
      <c r="E12" s="43">
        <f>Item5!F3</f>
        <v>283.89999999999998</v>
      </c>
      <c r="F12" s="43">
        <f>(ROUND(E12,2)*D12)</f>
        <v>35487.5</v>
      </c>
    </row>
    <row r="13" spans="1:6" ht="17.25">
      <c r="A13" s="44" t="s">
        <v>22</v>
      </c>
      <c r="B13" s="78" t="str">
        <f>Item6!G20</f>
        <v>AMERICANAS</v>
      </c>
      <c r="C13" s="79"/>
      <c r="D13" s="79"/>
      <c r="E13" s="79"/>
      <c r="F13" s="80"/>
    </row>
    <row r="14" spans="1:6" ht="242.25">
      <c r="A14" s="41">
        <v>6</v>
      </c>
      <c r="B14" s="42" t="str">
        <f>Item6!B3</f>
        <v>SUPORTE PARA TV LED TIPO
PEDESTAL DE PISO, com as seguintes características:
• Com regulagem de altura da TV
• Compatível com TVs de 32 a 65 polegadas;
• Cor predominante preta ou grafite;
• Passagem interna para fiação;
• Com no mínimo uma bandeja de apoio para DVD e Notebook;
• Dimensões da bandeja (500mm x 290mm) (LxP). Admite-se variação de 100 mm na largura e de 100 mm na profundidade;
• Compatível com os seguintes padrões de furação VESA 200x100, 200x200, 200x300, 300x200, 300x300, 400x200, 400x300, 400x400, 600x200 ou 600x400mm (HxV);
• Parafusos para fixação da TV;
• Fabricado em aço carbono com acabamento em pintura eletrostática;
• Rodízio (rodas) para locomoção com trava;
• Mínimo de uma prateleira;
• Carga mínima suportada da TV: 45 kg ou superior;
• Carga mínima sobre a bandeja: 5 kg ou superior;
• Manual de instrução de português.
• Garantia de, no mínimo, 90 dias.</v>
      </c>
      <c r="C14" s="41" t="str">
        <f>Item6!C3</f>
        <v>unidade</v>
      </c>
      <c r="D14" s="41">
        <f>Item6!D3</f>
        <v>10</v>
      </c>
      <c r="E14" s="43">
        <f>Item6!F3</f>
        <v>897.02</v>
      </c>
      <c r="F14" s="43">
        <f>(ROUND(E14,2)*D14)</f>
        <v>8970.2000000000007</v>
      </c>
    </row>
    <row r="15" spans="1:6" ht="17.25">
      <c r="A15" s="44" t="s">
        <v>22</v>
      </c>
      <c r="B15" s="78" t="str">
        <f>Item7!G20</f>
        <v>AMERICANAS</v>
      </c>
      <c r="C15" s="79"/>
      <c r="D15" s="79"/>
      <c r="E15" s="79"/>
      <c r="F15" s="80"/>
    </row>
    <row r="16" spans="1:6" ht="89.25">
      <c r="A16" s="41">
        <v>7</v>
      </c>
      <c r="B16" s="42" t="str">
        <f>Item7!B3</f>
        <v>CAFETEIRA, com as seguintes especificações:
• Jarra em aço inox;
• Filtro permanente removível;
• Capacidade mínima de 1 litro;
• Indicador do nível de água;
• Alimentação elétrica: 127V ou bivolt.
• Garantia de, no mínimo, 360 dias.</v>
      </c>
      <c r="C16" s="41" t="str">
        <f>Item7!C3</f>
        <v>unidade</v>
      </c>
      <c r="D16" s="41">
        <f>Item7!D3</f>
        <v>50</v>
      </c>
      <c r="E16" s="43">
        <f>Item7!F3</f>
        <v>179.99</v>
      </c>
      <c r="F16" s="43">
        <f>(ROUND(E16,2)*D16)</f>
        <v>8999.5</v>
      </c>
    </row>
    <row r="17" spans="1:6" ht="17.25">
      <c r="A17" s="44" t="s">
        <v>22</v>
      </c>
      <c r="B17" s="78" t="str">
        <f>Item8!G20</f>
        <v>MAGAZINE LUIZA</v>
      </c>
      <c r="C17" s="79"/>
      <c r="D17" s="79"/>
      <c r="E17" s="79"/>
      <c r="F17" s="80"/>
    </row>
    <row r="18" spans="1:6" ht="89.25">
      <c r="A18" s="41">
        <v>8</v>
      </c>
      <c r="B18" s="42" t="str">
        <f>Item8!B3</f>
        <v>CAFETEIRA, com as seguintes especificações:
• Jarra em aço inox;
• Filtro permanente removível;
• Capacidade mínima de 1 litro;
• Indicador do nível de água;
• Alimentação elétrica: 220V ou bivolt.
• Garantia de, no mínimo, 360 dias.</v>
      </c>
      <c r="C18" s="41" t="str">
        <f>Item8!C3</f>
        <v>unidade</v>
      </c>
      <c r="D18" s="41">
        <f>Item8!D3</f>
        <v>50</v>
      </c>
      <c r="E18" s="43">
        <f>Item8!F3</f>
        <v>174.99</v>
      </c>
      <c r="F18" s="43">
        <f>(ROUND(E18,2)*D18)</f>
        <v>8749.5</v>
      </c>
    </row>
    <row r="19" spans="1:6" ht="17.25">
      <c r="A19" s="44" t="s">
        <v>22</v>
      </c>
      <c r="B19" s="78" t="str">
        <f>Item9!G20</f>
        <v>CARREFOUR</v>
      </c>
      <c r="C19" s="79"/>
      <c r="D19" s="79"/>
      <c r="E19" s="79"/>
      <c r="F19" s="80"/>
    </row>
    <row r="20" spans="1:6" ht="89.25">
      <c r="A20" s="41">
        <v>9</v>
      </c>
      <c r="B20" s="42" t="str">
        <f>Item9!B3</f>
        <v>FORNO DE MICRO-ONDAS, com as seguintes especificações:
• Capacidade (câmara do alimento) entre 30 e 35 litros;
• Voltagem: 127V;
• Prato giratório removível;
• Display e menu com funções em português;
• Trava de segurança.
• Selo Procel A</v>
      </c>
      <c r="C20" s="41" t="str">
        <f>Item9!C3</f>
        <v>unidade</v>
      </c>
      <c r="D20" s="41">
        <f>Item9!D3</f>
        <v>60</v>
      </c>
      <c r="E20" s="43">
        <f>Item9!F3</f>
        <v>529</v>
      </c>
      <c r="F20" s="43">
        <f>(ROUND(E20,2)*D20)</f>
        <v>31740</v>
      </c>
    </row>
    <row r="21" spans="1:6" ht="17.25">
      <c r="A21" s="44" t="s">
        <v>22</v>
      </c>
      <c r="B21" s="78" t="str">
        <f>Item10!G20</f>
        <v>FRIO PEÇAS</v>
      </c>
      <c r="C21" s="79"/>
      <c r="D21" s="79"/>
      <c r="E21" s="79"/>
      <c r="F21" s="80"/>
    </row>
    <row r="22" spans="1:6" ht="89.25">
      <c r="A22" s="41">
        <v>10</v>
      </c>
      <c r="B22" s="42" t="str">
        <f>Item10!B3</f>
        <v>FORNO DE MICRO-ONDAS, com as seguintes especificações:
• Capacidade (câmara do alimento) entre 30 e 35 litros;
• Voltagem: 220 V;
• Prato giratório removível;
• Display e menu com funções em português;
• Trava de segurança.
• Selo Procel A</v>
      </c>
      <c r="C22" s="41" t="str">
        <f>Item10!C3</f>
        <v>unidade</v>
      </c>
      <c r="D22" s="41">
        <f>Item10!D3</f>
        <v>30</v>
      </c>
      <c r="E22" s="43">
        <f>Item10!F3</f>
        <v>568.1</v>
      </c>
      <c r="F22" s="43">
        <f>(ROUND(E22,2)*D22)</f>
        <v>17043</v>
      </c>
    </row>
    <row r="23" spans="1:6" ht="17.25">
      <c r="A23" s="44" t="s">
        <v>22</v>
      </c>
      <c r="B23" s="78" t="str">
        <f>Item11!G20</f>
        <v>FERREIRA COSTA</v>
      </c>
      <c r="C23" s="79"/>
      <c r="D23" s="79"/>
      <c r="E23" s="79"/>
      <c r="F23" s="80"/>
    </row>
    <row r="24" spans="1:6" ht="127.5">
      <c r="A24" s="41">
        <v>11</v>
      </c>
      <c r="B24" s="42" t="str">
        <f>Item11!B3</f>
        <v>REFRIGERADOR, com as seguintes especificações:
• Tipo frigobar;
• Volume interno total: 75 a 95 litros;
• Selo Procel Classe A;
• Tensão elétrica: 127 V;
• Degelo automático ou bandeja de degelo;
• Prateleiras removíveis;
• Portas reversíveis;
• Controle de temperatura;
• Cor branca.</v>
      </c>
      <c r="C24" s="41" t="str">
        <f>Item11!C3</f>
        <v>unidade</v>
      </c>
      <c r="D24" s="41">
        <f>Item11!D3</f>
        <v>15</v>
      </c>
      <c r="E24" s="43">
        <f>Item11!F3</f>
        <v>1139.05</v>
      </c>
      <c r="F24" s="43">
        <f>(ROUND(E24,2)*D24)</f>
        <v>17085.75</v>
      </c>
    </row>
    <row r="25" spans="1:6" ht="17.25">
      <c r="A25" s="44" t="s">
        <v>22</v>
      </c>
      <c r="B25" s="78" t="str">
        <f>Item12!G20</f>
        <v>SHOPTIME</v>
      </c>
      <c r="C25" s="79"/>
      <c r="D25" s="79"/>
      <c r="E25" s="79"/>
      <c r="F25" s="80"/>
    </row>
    <row r="26" spans="1:6" ht="127.5">
      <c r="A26" s="41">
        <v>12</v>
      </c>
      <c r="B26" s="42" t="str">
        <f>Item12!B3</f>
        <v>REFRIGERADOR, com as seguintes especificações:
• Tipo frigobar;
• Volume interno total: 75 a 95 litros;
• Selo Procel Classe A;
• Tensão elétrica: 220V;
• Degelo automático ou bandeja de degelo;
• Prateleiras removíveis;
• Portas reversíveis;
• Controle de temperatura;
• Cor branca.</v>
      </c>
      <c r="C26" s="41" t="str">
        <f>Item12!C3</f>
        <v>unidade</v>
      </c>
      <c r="D26" s="41">
        <f>Item12!D3</f>
        <v>40</v>
      </c>
      <c r="E26" s="43">
        <f>Item12!F3</f>
        <v>878.24</v>
      </c>
      <c r="F26" s="43">
        <f>(ROUND(E26,2)*D26)</f>
        <v>35129.599999999999</v>
      </c>
    </row>
    <row r="27" spans="1:6" ht="17.25">
      <c r="A27" s="44" t="s">
        <v>22</v>
      </c>
      <c r="B27" s="78" t="str">
        <f>Item13!G20</f>
        <v>ESTRELA 10</v>
      </c>
      <c r="C27" s="79"/>
      <c r="D27" s="79"/>
      <c r="E27" s="79"/>
      <c r="F27" s="80"/>
    </row>
    <row r="28" spans="1:6" ht="153">
      <c r="A28" s="41">
        <v>13</v>
      </c>
      <c r="B28" s="42" t="str">
        <f>Item13!B3</f>
        <v>BEBEDOURO DE COLUNA, com as seguintes especificações:
• Tipo garrafão;
• Selo de conformidade Inmetro;
• Acomodação para garrafão de 10 e 20 litros;
• Capacidade de fornecimento de água gelada : 0,90 l/h ou superior;
• Tensão elétrica: 127V ou bivolt;
• Gabinete com laterais confeccionadas em aço carbono galvanizado, chapa eletrozincada ou inox;
• Pingadeira com tampo removível;
• Acionamento para água gelada e natural;
• Gás refrigerante ecológico.
• Cor branca ou inox
• Em conformidade com a norma ABNT NBR 16236:2013 (Versão corrigida) ou mais recente.</v>
      </c>
      <c r="C28" s="41" t="str">
        <f>Item13!C3</f>
        <v>unidade</v>
      </c>
      <c r="D28" s="41">
        <f>Item13!D3</f>
        <v>100</v>
      </c>
      <c r="E28" s="43">
        <f>Item13!F3</f>
        <v>425.7</v>
      </c>
      <c r="F28" s="43">
        <f>(ROUND(E28,2)*D28)</f>
        <v>42570</v>
      </c>
    </row>
    <row r="29" spans="1:6" ht="17.25">
      <c r="A29" s="44" t="s">
        <v>22</v>
      </c>
      <c r="B29" s="78" t="str">
        <f>Item14!G20</f>
        <v>SUBMARINO</v>
      </c>
      <c r="C29" s="79"/>
      <c r="D29" s="79"/>
      <c r="E29" s="79"/>
      <c r="F29" s="80"/>
    </row>
    <row r="30" spans="1:6" ht="153">
      <c r="A30" s="41">
        <v>14</v>
      </c>
      <c r="B30" s="42" t="str">
        <f>Item14!B3</f>
        <v>BEBEDOURO DE COLUNA, com as seguintes especificações:
• Tipo garrafão;
• Selo de conformidade Inmetro;
• Acomodação para garrafão de 10 e 20 litros;
• Capacidade de fornecimento de água gelada : 0,90 l/h ou superior;
• Tensão elétrica: 220V ou bivolt;
• Gabinete com laterais confeccionadas em aço carbono galvanizado, chapa eletrozincada ou inox;
• Pingadeira com tampo removível;
• Acionamento para água gelada e natural;
• Gás refrigerante ecológico.
• Cor branca ou inox
• Em conformidade com a norma ABNT NBR 16236:2013 (Versão corrigida) ou mais recente</v>
      </c>
      <c r="C30" s="41" t="str">
        <f>Item14!C3</f>
        <v>unidade</v>
      </c>
      <c r="D30" s="41">
        <f>Item14!D3</f>
        <v>50</v>
      </c>
      <c r="E30" s="43">
        <f>Item14!F3</f>
        <v>475.9</v>
      </c>
      <c r="F30" s="43">
        <f>(ROUND(E30,2)*D30)</f>
        <v>23795</v>
      </c>
    </row>
    <row r="31" spans="1:6" ht="17.25">
      <c r="A31" s="44" t="s">
        <v>22</v>
      </c>
      <c r="B31" s="78" t="str">
        <f>Item15!G20</f>
        <v>MULTI MEGA</v>
      </c>
      <c r="C31" s="79"/>
      <c r="D31" s="79"/>
      <c r="E31" s="79"/>
      <c r="F31" s="80"/>
    </row>
    <row r="32" spans="1:6" ht="140.25">
      <c r="A32" s="41">
        <v>15</v>
      </c>
      <c r="B32" s="42" t="str">
        <f>Item15!B3</f>
        <v>BEBEDOURO DE COLUNA TIPO
PRESSÃO, com as seguintes especificações:
• Certificado pelo Inmetro;
• Tensão Elétrica 127V;
• Gabinete com laterais confeccionada em aço;
• Com 2 torneiras de pressão em latão cromado, uma para jato outra para copo;
• Pia em aço inoxidável;
• Filtro de água com carvão ativado, para reter partículas sólidas e gosto de cloro;
• Capacidade de refrigeração para atendimento médio de 20 pessoas/hora.
• Gás refrigerante ecológico.
• Em conformidade com a norma ABNT NBR 16236:2013 (Versão corrigida) ou mais recente</v>
      </c>
      <c r="C32" s="41" t="str">
        <f>Item15!C3</f>
        <v>unidade</v>
      </c>
      <c r="D32" s="41">
        <f>Item15!D3</f>
        <v>40</v>
      </c>
      <c r="E32" s="43">
        <f>Item15!F3</f>
        <v>764.9</v>
      </c>
      <c r="F32" s="43">
        <f>(ROUND(E32,2)*D32)</f>
        <v>30596</v>
      </c>
    </row>
    <row r="33" spans="1:6" ht="17.25">
      <c r="A33" s="44" t="s">
        <v>22</v>
      </c>
      <c r="B33" s="78" t="str">
        <f>Item16!G20</f>
        <v>DUTRA MAQUINAS</v>
      </c>
      <c r="C33" s="79"/>
      <c r="D33" s="79"/>
      <c r="E33" s="79"/>
      <c r="F33" s="80"/>
    </row>
    <row r="34" spans="1:6" ht="140.25">
      <c r="A34" s="41">
        <v>16</v>
      </c>
      <c r="B34" s="42" t="str">
        <f>Item16!B3</f>
        <v>BEBEDOURO DE COLUNA TIPO
PRESSÃO, com as seguintes especificações:
• Certificado pelo Inmetro;
• Tensão Elétrica 220V;
• Gabinete com laterais confeccionada em aço;
• Com 2 torneiras de pressão em latão cromado, uma para jato outra para copo;
• Pia em aço inoxidável;
• Filtro de água com carvão ativado, para reter partículas sólidas e gosto de cloro;
• Capacidade de refrigeração para atendimento médio de 20 pessoas/hora.
• Gás refrigerante ecológico.
• Em conformidade com a norma ABNT NBR 16236:2013 (Versão corrigida) ou mais recente</v>
      </c>
      <c r="C34" s="41" t="str">
        <f>Item16!C3</f>
        <v>unidade</v>
      </c>
      <c r="D34" s="41">
        <f>Item16!D3</f>
        <v>40</v>
      </c>
      <c r="E34" s="43">
        <f>Item16!F3</f>
        <v>799</v>
      </c>
      <c r="F34" s="43">
        <f>(ROUND(E34,2)*D34)</f>
        <v>31960</v>
      </c>
    </row>
    <row r="35" spans="1:6" ht="17.25">
      <c r="A35" s="44" t="s">
        <v>22</v>
      </c>
      <c r="B35" s="78" t="str">
        <f>Item17!G20</f>
        <v>ELETRO LUSTRES</v>
      </c>
      <c r="C35" s="79"/>
      <c r="D35" s="79"/>
      <c r="E35" s="79"/>
      <c r="F35" s="80"/>
    </row>
    <row r="36" spans="1:6" ht="89.25">
      <c r="A36" s="41">
        <v>17</v>
      </c>
      <c r="B36" s="42" t="str">
        <f>Item17!B3</f>
        <v>VENTILADOR DE COLUNA, com as seguintes especificações:
• Grade de metal;
• Diâmetro da grade: 65 cm, admitida variação de ± 5 cm;
• Tensão: bivolt;
• Coluna regulável, com altura mínima de 1,5m na posição distendida;
• Mecanismo oscilante e controle de velocidade.
• Garantia de, no mínimo, 360 dias.</v>
      </c>
      <c r="C36" s="41" t="str">
        <f>Item17!C3</f>
        <v>unidade</v>
      </c>
      <c r="D36" s="41">
        <f>Item17!D3</f>
        <v>50</v>
      </c>
      <c r="E36" s="43">
        <f>Item17!F3</f>
        <v>449.1</v>
      </c>
      <c r="F36" s="43">
        <f>(ROUND(E36,2)*D36)</f>
        <v>22455</v>
      </c>
    </row>
    <row r="37" spans="1:6" ht="17.25">
      <c r="A37" s="44" t="s">
        <v>22</v>
      </c>
      <c r="B37" s="78" t="str">
        <f>Item18!G20</f>
        <v>AMERICANAS</v>
      </c>
      <c r="C37" s="79"/>
      <c r="D37" s="79"/>
      <c r="E37" s="79"/>
      <c r="F37" s="80"/>
    </row>
    <row r="38" spans="1:6" ht="127.5">
      <c r="A38" s="41">
        <v>18</v>
      </c>
      <c r="B38" s="42" t="str">
        <f>Item18!B3</f>
        <v>REFRIGERADOR, com as seguintes especificações:
• Volume interno total: mínimo de 340 litros;
• Selo Procel Classe A;
• Tensão elétrica: 127 V;
• Frost free;
• Prateleiras removíveis;
• Portas reversíveis;
• Controle de temperatura;
• Fluído refrigerante ecológico
• Cor branca.</v>
      </c>
      <c r="C38" s="41" t="str">
        <f>Item18!C3</f>
        <v>unidade</v>
      </c>
      <c r="D38" s="41">
        <f>Item18!D3</f>
        <v>20</v>
      </c>
      <c r="E38" s="43">
        <f>Item18!F3</f>
        <v>2458.9899999999998</v>
      </c>
      <c r="F38" s="43">
        <f>(ROUND(E38,2)*D38)</f>
        <v>49179.799999999996</v>
      </c>
    </row>
    <row r="39" spans="1:6" ht="17.25">
      <c r="A39" s="44" t="s">
        <v>22</v>
      </c>
      <c r="B39" s="78" t="str">
        <f>Item19!G20</f>
        <v>CONSUL</v>
      </c>
      <c r="C39" s="79"/>
      <c r="D39" s="79"/>
      <c r="E39" s="79"/>
      <c r="F39" s="80"/>
    </row>
    <row r="40" spans="1:6" ht="127.5">
      <c r="A40" s="41">
        <v>19</v>
      </c>
      <c r="B40" s="42" t="str">
        <f>Item19!B3</f>
        <v>REFRIGERADOR, com as seguintes especificações:
• Volume interno total: mínimo de 340 litros;
• Selo Procel Classe A;
• Tensão elétrica: 220 V;
• Frost free;
• Prateleiras removíveis;
• Portas reversíveis;
• Controle de temperatura;
• Fluído refrigerante ecológico
• Cor branca.</v>
      </c>
      <c r="C40" s="41" t="str">
        <f>Item19!C3</f>
        <v>unidade</v>
      </c>
      <c r="D40" s="41">
        <f>Item19!D3</f>
        <v>10</v>
      </c>
      <c r="E40" s="43">
        <f>Item19!F3</f>
        <v>2649</v>
      </c>
      <c r="F40" s="43">
        <f>(ROUND(E40,2)*D40)</f>
        <v>26490</v>
      </c>
    </row>
    <row r="41" spans="1:6" ht="17.25">
      <c r="A41" s="44" t="s">
        <v>22</v>
      </c>
      <c r="B41" s="78" t="str">
        <f>Item20!G20</f>
        <v>ELECTROLUX</v>
      </c>
      <c r="C41" s="79"/>
      <c r="D41" s="79"/>
      <c r="E41" s="79"/>
      <c r="F41" s="80"/>
    </row>
    <row r="42" spans="1:6" ht="114.75">
      <c r="A42" s="41">
        <v>20</v>
      </c>
      <c r="B42" s="42" t="str">
        <f>Item20!B3</f>
        <v>FREEZER VERTICAL FROST FREE, com as
seguintes especificações:
• Capacidade : mínimo de 200 litros;
• Selo Procel classe A;
• Fluído refrigerante ecológico;
• Com gavetas removíveis;
• Controle de temperatura;
• Tensão elétrica: 127 V;
• Cor branca.</v>
      </c>
      <c r="C42" s="41" t="str">
        <f>Item20!C3</f>
        <v>unidade</v>
      </c>
      <c r="D42" s="41">
        <f>Item20!D3</f>
        <v>3</v>
      </c>
      <c r="E42" s="43">
        <f>Item20!F3</f>
        <v>2599</v>
      </c>
      <c r="F42" s="43">
        <f>(ROUND(E42,2)*D42)</f>
        <v>7797</v>
      </c>
    </row>
    <row r="43" spans="1:6" ht="17.25">
      <c r="A43" s="44" t="s">
        <v>22</v>
      </c>
      <c r="B43" s="78" t="str">
        <f>Item21!G20</f>
        <v>SUBMARINO</v>
      </c>
      <c r="C43" s="79"/>
      <c r="D43" s="79"/>
      <c r="E43" s="79"/>
      <c r="F43" s="80"/>
    </row>
    <row r="44" spans="1:6" ht="114.75">
      <c r="A44" s="41">
        <v>21</v>
      </c>
      <c r="B44" s="42" t="str">
        <f>Item21!B3</f>
        <v>FREEZER VERTICAL FROST FREE, com as
seguintes especificações:
• Capacidade: mínimo de 200 litros;
• Selo Procel classe A;
• Fluído refrigerante ecológico;
• Com gavetas removíveis;
• Controle de temperatura;
• Tensão elétrica: 220 V;
• Cor branca.</v>
      </c>
      <c r="C44" s="41" t="str">
        <f>Item21!C3</f>
        <v>unidade</v>
      </c>
      <c r="D44" s="41">
        <f>Item21!D3</f>
        <v>3</v>
      </c>
      <c r="E44" s="43">
        <f>Item21!F3</f>
        <v>2999.99</v>
      </c>
      <c r="F44" s="43">
        <f>(ROUND(E44,2)*D44)</f>
        <v>8999.9699999999993</v>
      </c>
    </row>
    <row r="45" spans="1:6" ht="17.25">
      <c r="A45" s="44" t="s">
        <v>22</v>
      </c>
      <c r="B45" s="78" t="str">
        <f>Item22!G20</f>
        <v>FERRAMENTAS KENNEDY</v>
      </c>
      <c r="C45" s="79"/>
      <c r="D45" s="79"/>
      <c r="E45" s="79"/>
      <c r="F45" s="80"/>
    </row>
    <row r="46" spans="1:6" ht="89.25">
      <c r="A46" s="41">
        <v>22</v>
      </c>
      <c r="B46" s="42" t="str">
        <f>Item22!B3</f>
        <v>VENTILADOR DE PAREDE, com as seguintes especificações:
• Grade de metal;
• Diâmetro da grade: 100 cm, admitida variação de ± 5 cm;
• Rotação mínima: 1000 r.p.m.
• Tensão: bivolt ou 110 volt;
• Regulagem de inclinação.
• Garantia de, no mínimo, 360 dias</v>
      </c>
      <c r="C46" s="41" t="str">
        <f>Item22!C3</f>
        <v>unidade</v>
      </c>
      <c r="D46" s="41">
        <f>Item22!D3</f>
        <v>40</v>
      </c>
      <c r="E46" s="43">
        <f>Item22!F3</f>
        <v>881.99</v>
      </c>
      <c r="F46" s="43">
        <f>(ROUND(E46,2)*D46)</f>
        <v>35279.599999999999</v>
      </c>
    </row>
    <row r="47" spans="1:6" ht="17.25">
      <c r="A47" s="44" t="s">
        <v>22</v>
      </c>
      <c r="B47" s="78" t="str">
        <f>Item23!G20</f>
        <v>RM FERRAMENTAS</v>
      </c>
      <c r="C47" s="79"/>
      <c r="D47" s="79"/>
      <c r="E47" s="79"/>
      <c r="F47" s="80"/>
    </row>
    <row r="48" spans="1:6" ht="89.25">
      <c r="A48" s="41">
        <v>23</v>
      </c>
      <c r="B48" s="42" t="str">
        <f>Item23!B3</f>
        <v>VENTILADOR DE PAREDE, com as seguintes especificações:
• Grade de metal;
• Diâmetro da grade: 100 cm, admitida variação de ± 5 cm;
• Rotação mínima: 1000 r.p.m.
• Tensão: bivolt ou 220 volt;
• Regulagem de inclinação.
• Garantia de, no mínimo, 360 dias</v>
      </c>
      <c r="C48" s="41" t="str">
        <f>Item23!C3</f>
        <v>unidade</v>
      </c>
      <c r="D48" s="41">
        <f>Item23!D3</f>
        <v>40</v>
      </c>
      <c r="E48" s="43">
        <f>Item23!F3</f>
        <v>746.1</v>
      </c>
      <c r="F48" s="43">
        <f>(ROUND(E48,2)*D48)</f>
        <v>29844</v>
      </c>
    </row>
    <row r="49" spans="1:6" ht="17.25">
      <c r="A49" s="44" t="s">
        <v>22</v>
      </c>
      <c r="B49" s="78" t="str">
        <f>Item24!G20</f>
        <v>REFRISOL</v>
      </c>
      <c r="C49" s="79"/>
      <c r="D49" s="79"/>
      <c r="E49" s="79"/>
      <c r="F49" s="80"/>
    </row>
    <row r="50" spans="1:6" ht="114.75">
      <c r="A50" s="41">
        <v>24</v>
      </c>
      <c r="B50" s="42" t="str">
        <f>Item24!B3</f>
        <v>CAFETEIRA ELÉTRICA INDUSTRIAL, com as seguintes características;
• Depósito em aço inox;
• Capacidade para 20 litros de café pronto;
• Termostato regulável na faixa de 20º C a 120º C.
• Tensão elétrica: 220 v;
• Potência mínima de aquecimento: 4000 W;
• Acompanha coador de pano.
• Garantia de, no mínimo, 90 dias.</v>
      </c>
      <c r="C50" s="41" t="str">
        <f>Item24!C3</f>
        <v>unidade</v>
      </c>
      <c r="D50" s="41">
        <f>Item24!D3</f>
        <v>5</v>
      </c>
      <c r="E50" s="43">
        <f>Item24!F3</f>
        <v>2101.5</v>
      </c>
      <c r="F50" s="43">
        <f>(ROUND(E50,2)*D50)</f>
        <v>10507.5</v>
      </c>
    </row>
    <row r="51" spans="1:6" ht="17.25">
      <c r="A51" s="44" t="s">
        <v>22</v>
      </c>
      <c r="B51" s="78" t="str">
        <f>Item25!G20</f>
        <v>EQUIPAMENTOS RODRIGUES</v>
      </c>
      <c r="C51" s="79"/>
      <c r="D51" s="79"/>
      <c r="E51" s="79"/>
      <c r="F51" s="80"/>
    </row>
    <row r="52" spans="1:6" ht="127.5">
      <c r="A52" s="41">
        <v>25</v>
      </c>
      <c r="B52" s="42" t="str">
        <f>Item25!B3</f>
        <v>LIQUIDIFICADOR INDUSTRIAL, com as seguintes características;
• Com gabinete/corpo e copo em inox;
• Capacidade do copo: 1,5 a 2 litros;
• Com tecla/botão liga/desliga
• Com função pulsar
• Base antiderrapante;
• Potência: 800 W ou superior
• Tensão elétrica: 127 V
• Garantia de, no mínimo, 180 dias.</v>
      </c>
      <c r="C52" s="41" t="str">
        <f>Item25!C3</f>
        <v>unidade</v>
      </c>
      <c r="D52" s="41">
        <f>Item25!D3</f>
        <v>4</v>
      </c>
      <c r="E52" s="43">
        <f>Item25!F3</f>
        <v>270</v>
      </c>
      <c r="F52" s="43">
        <f>(ROUND(E52,2)*D52)</f>
        <v>1080</v>
      </c>
    </row>
    <row r="53" spans="1:6" ht="17.25">
      <c r="A53" s="44" t="s">
        <v>22</v>
      </c>
      <c r="B53" s="78" t="str">
        <f>Item26!G20</f>
        <v>SHOPTIME</v>
      </c>
      <c r="C53" s="79"/>
      <c r="D53" s="79"/>
      <c r="E53" s="79"/>
      <c r="F53" s="80"/>
    </row>
    <row r="54" spans="1:6" ht="127.5">
      <c r="A54" s="41">
        <v>26</v>
      </c>
      <c r="B54" s="42" t="str">
        <f>Item26!B3</f>
        <v>LIQUIDIFICADOR INDUSTRIAL, com as seguintes características;
• Com gabinete/corpo e copo em inox;
• Capacidade do copo: 1,5 a 2 litros;
• Com tecla/botão liga/desliga
• Com função pulsar
• Base antiderrapante;
• Potência: 800 W ou superior
• Tensão elétrica: 220 V
• Garantia de, no mínimo, 180 dias.</v>
      </c>
      <c r="C54" s="41" t="str">
        <f>Item26!C3</f>
        <v>unidade</v>
      </c>
      <c r="D54" s="41">
        <f>Item26!D3</f>
        <v>4</v>
      </c>
      <c r="E54" s="43">
        <f>Item26!F3</f>
        <v>438</v>
      </c>
      <c r="F54" s="43">
        <f>(ROUND(E54,2)*D54)</f>
        <v>1752</v>
      </c>
    </row>
    <row r="55" spans="1:6" ht="17.25">
      <c r="A55" s="44" t="s">
        <v>22</v>
      </c>
      <c r="B55" s="78" t="str">
        <f>Item27!G20</f>
        <v>LOJA MUNDI</v>
      </c>
      <c r="C55" s="79"/>
      <c r="D55" s="79"/>
      <c r="E55" s="79"/>
      <c r="F55" s="80"/>
    </row>
    <row r="56" spans="1:6" ht="229.5">
      <c r="A56" s="41">
        <v>27</v>
      </c>
      <c r="B56" s="42" t="str">
        <f>Item27!B3</f>
        <v>ADAPTADOR PARA TELEFONE ANALÓGICO (ATA)
• 1 porta WAN 100BASE-T RJ-45 Porta Ethernet (IEEE 802.3)
• 1 porta LAN 100 BASE-T RJ-45 Porta Ethertnet (IEEE 802.3)
• 2 portas de telefonia FXS RJ11, com 2 números de telefones independentes;
• Saídas de telefone compatíveis com telefones comuns com e sem fio, ou aparelhos de FAX
• Compatibilidade com protocolo SIP 2.0 (RFC 3261)
• Codesc de voz: G.711, G.726, G.723.1, G.729A/B
• Suporte DTMF (RFC2833 e SIP INFO) e FSK
• Passagem de Fax G711 e T.38
• Suporte à supressão de silêncio, cancelamento de eco (G.165, G167, e G168), CNG (geração de ruído de conforto) e PLC (cancelamento de perda de pacote)
• Configuração de rede: estática, DHCP ou PPPoE (ADSL)
• Configurável através do navegador
• Compatível com as funções telefônicas: identificação de chamada, chamada em espera, correio de voz, etc
• Alimentação através de fonte externa bivolt automática
• Referência: Intelbras GKM 2210T, CISCO SPA 122, GRANDSTREAM NAT HT812</v>
      </c>
      <c r="C56" s="41" t="str">
        <f>Item27!C3</f>
        <v>unidade</v>
      </c>
      <c r="D56" s="41">
        <f>Item27!D3</f>
        <v>75</v>
      </c>
      <c r="E56" s="43">
        <f>Item27!F3</f>
        <v>338.8</v>
      </c>
      <c r="F56" s="43">
        <f>(ROUND(E56,2)*D56)</f>
        <v>25410</v>
      </c>
    </row>
    <row r="57" spans="1:6" ht="17.25">
      <c r="A57" s="44" t="s">
        <v>22</v>
      </c>
      <c r="B57" s="78" t="str">
        <f>Item28!G20</f>
        <v>AMAZON</v>
      </c>
      <c r="C57" s="79"/>
      <c r="D57" s="79"/>
      <c r="E57" s="79"/>
      <c r="F57" s="80"/>
    </row>
    <row r="58" spans="1:6" ht="89.25">
      <c r="A58" s="41">
        <v>28</v>
      </c>
      <c r="B58" s="42" t="str">
        <f>Item28!B3</f>
        <v>ANTENA INTERNA PARA TV DIGITAL
• Cabo de no mínimo 2,5 metros.
• Capta sinais UHF/HDTV
• Conector F macho
• Cor preta</v>
      </c>
      <c r="C58" s="41" t="str">
        <f>Item28!C3</f>
        <v>unidade</v>
      </c>
      <c r="D58" s="41">
        <f>Item28!D3</f>
        <v>50</v>
      </c>
      <c r="E58" s="43">
        <f>Item28!F3</f>
        <v>19.77</v>
      </c>
      <c r="F58" s="43">
        <f>(ROUND(E58,2)*D58)</f>
        <v>988.5</v>
      </c>
    </row>
    <row r="59" spans="1:6" ht="17.25">
      <c r="A59" s="44" t="s">
        <v>22</v>
      </c>
      <c r="B59" s="78" t="str">
        <f>Item29!G20</f>
        <v>HT CLICK</v>
      </c>
      <c r="C59" s="79"/>
      <c r="D59" s="79"/>
      <c r="E59" s="79"/>
      <c r="F59" s="80"/>
    </row>
    <row r="60" spans="1:6" ht="409.5">
      <c r="A60" s="41">
        <v>29</v>
      </c>
      <c r="B60" s="42" t="str">
        <f>Item29!B3</f>
        <v>PROJETOR DE VIDEO LASER  6000 lúmens.
• Tipo do display: Poly-silicon TFT matriz ativa
Resolução nativa: 1920 x 1200 pixels WUXGA
• Modo de projeção: Frontal, Frontal/Teto, Traseiro, Traseiro/Teto.
• Painel LCD: 0,67" (D10 com C2Fine™).
• Número de pixels: 2.304.000 pixels (1920x1200) x 3
• Brilho em cores - Saída de luz colorida: 6.000 lumens (ISSO 21118 padrão)
• Brilho em branco - Saída de luz branca: 6.000 lumens
• Razão de aspecto: 16:10
• Resolução nativa: 1920x1200 (WUXGA)
• Alcance do Throw-Ratio: 1,35–2,2
• Dimensões da imagem: 48” (1,22m) a 470” (7,11m)
• Correção de Keystone: Vertical: ±30 graus; Horizontal: ±30 graus.
• Razão de contraste: até 2.500.000:1 com modo dinâmico de cores, modo normal de fonte de luz e modo wide zoom
• Alcance de mudança da lente: Vertical: ±50 graus; Horizontal: ±20 graus.
• Processamento de cor: 10 bits
• Reprodução de cor: até 1,07 bilhão de cores
• Tipo de laser: laser diodo
• Potencia de saída da fonte de luz: até 104,5W
• Comprimento de onda: 449 a 491nm
• Duração da fonte de luz laser: Normal: 20.000 horas; Silencioso: 20.000 horas; Estendido: 30.000 horas
• Lente de projeção standard: F=1.5 a 1.7
• Distância focal: 20.0 a 31.8 mm
• Interfaces:
                    HDBaseT x1
HDMI x2
Analógico: D-sub 15 pin x1
Controle I/O: RS-232C (D-sub 9 pin)
USB-I/O: Tipo A x1; Tipo B x1
LAN RJ45 x1
Wireless LAN (acessório opcional) USB Tipo A x1
Entrada de Áudio (stereo): x2
Saída de Áudio (stereo): x1
                     Ruído do ventilador: 37dB (Modo Normal), 25dB (Modo ECO)0
• Energia:
Voltagem: 100 – 240VAC ±10%, 50/60Hz
Voltagem nominal: 100 – 240VAC
Frequência nominal: 50/60Hz
Consumo de energia:
Normal: 353W
Silencioso: 254W
Standby em Rede 2,0W
• Acessório:
Suporte articulado para montagem em mastro fixo no teto (ceiling-mount) conforme
modelo/fabricante.
Equipamento especificado: Epson, Panasonic, Christie ou equivalente técnico.</v>
      </c>
      <c r="C60" s="41" t="str">
        <f>Item29!C3</f>
        <v>unidade</v>
      </c>
      <c r="D60" s="41">
        <f>Item29!D3</f>
        <v>3</v>
      </c>
      <c r="E60" s="43">
        <f>Item29!F3</f>
        <v>19590</v>
      </c>
      <c r="F60" s="43">
        <f>(ROUND(E60,2)*D60)</f>
        <v>58770</v>
      </c>
    </row>
    <row r="61" spans="1:6" ht="17.25">
      <c r="A61" s="44" t="s">
        <v>22</v>
      </c>
      <c r="B61" s="78" t="str">
        <f>Item30!G20</f>
        <v>WEBCONTINENTAL</v>
      </c>
      <c r="C61" s="79"/>
      <c r="D61" s="79"/>
      <c r="E61" s="79"/>
      <c r="F61" s="80"/>
    </row>
    <row r="62" spans="1:6" ht="409.5">
      <c r="A62" s="41">
        <v>30</v>
      </c>
      <c r="B62" s="42" t="str">
        <f>Item30!B3</f>
        <v>Vídeo Wall Controlador 2X2, 4K, 4 Telas, USB, HDMI
Resolução:
Entrada suporta: 3840 x 2160 com 30Hz.
Saída Suporta: 1920 x 1080 com 30Hz .
Funcionalidades :
Suporta até 4 Telas diferentes, permite várias combinações de exibição no display.
Indicador luminoso de funcionamento: LED vermelho para ligado e LED verde significa conexão bem-sucedida com o monitor.
Botão que altera o modo de exibição no painel. Mudança também pode ser feita pelo controle remoto.
Botão no painel para seleção rápida da fonte de sinal HDMI (entrada/saída).
Botão no painel para reset rápido e redefinição do controlador de vídeo Wall.
Porta RS232, para conexão de porta serial do controlador Uso pelo fabricante.
Leitor de cartão SD, para atualização da entrada da fonte de sinal.
Entradas 2 USB 2.0, para conexão de periféricos como Pendrives HDs externos teclado, mouse e outros.
Entrada R/L para fone de ouvido (3,5mm), saída estéreo de áudio analógico.
Acesso para fibra óptica, porta para saída de áudio digital estéreo.
Recepção de sinal infravermelho, para uso do controle remoto (IR).
Sistema “plug and play”, sem a necessidade de instalação de software adicional.</v>
      </c>
      <c r="C62" s="41" t="str">
        <f>Item30!C3</f>
        <v>unidade</v>
      </c>
      <c r="D62" s="41">
        <f>Item30!D3</f>
        <v>3</v>
      </c>
      <c r="E62" s="43">
        <f>Item30!F3</f>
        <v>1656</v>
      </c>
      <c r="F62" s="43">
        <f>(ROUND(E62,2)*D62)</f>
        <v>4968</v>
      </c>
    </row>
    <row r="63" spans="1:6" ht="17.25">
      <c r="A63" s="44" t="s">
        <v>22</v>
      </c>
      <c r="B63" s="78" t="str">
        <f>Item31!G20</f>
        <v>AMERICANAS</v>
      </c>
      <c r="C63" s="79"/>
      <c r="D63" s="79"/>
      <c r="E63" s="79"/>
      <c r="F63" s="80"/>
    </row>
    <row r="64" spans="1:6" ht="178.5">
      <c r="A64" s="41">
        <v>31</v>
      </c>
      <c r="B64" s="42" t="str">
        <f>Item31!B3</f>
        <v>KIT DE MICROFONE SEM FIO DE MÃO, DUPLO, COM RECEPTOR UHF, com as seguintes especificações;
Acompanha 2(dois) microfones com características:
• Cápsula: Dinâmica
• Frequência de trabalho: UHF (frequências homologadas pela Anatel)
• Impedância de saída: 600 ohms
• Com sincronizador infravermelho
• Resposta frequência: 40Hz a 16KHz Potência de saída: mínimo de 10mW
• Emissão de espúrios: menor ou igual a 40dB (with carrier)
• Estabilidade de frequência: mínimo de 0,0005%
• Padrão polar Super Cardioide
• Alimentação dos microfones: a pilhas AA ou 9V
• Corpo em metal</v>
      </c>
      <c r="C64" s="41" t="str">
        <f>Item31!C3</f>
        <v>unidade</v>
      </c>
      <c r="D64" s="41">
        <f>Item31!D3</f>
        <v>6</v>
      </c>
      <c r="E64" s="43">
        <f>Item31!F3</f>
        <v>352.87</v>
      </c>
      <c r="F64" s="43">
        <f>(ROUND(E64,2)*D64)</f>
        <v>2117.2200000000003</v>
      </c>
    </row>
    <row r="65" spans="1:6" ht="17.25">
      <c r="A65" s="44" t="s">
        <v>22</v>
      </c>
      <c r="B65" s="78" t="str">
        <f>Item32!G20</f>
        <v>LOJAS UNILAR</v>
      </c>
      <c r="C65" s="79"/>
      <c r="D65" s="79"/>
      <c r="E65" s="79"/>
      <c r="F65" s="80"/>
    </row>
    <row r="66" spans="1:6" ht="229.5">
      <c r="A66" s="41">
        <v>32</v>
      </c>
      <c r="B66" s="42" t="str">
        <f>Item32!B3</f>
        <v>PURIFICADOR DE ÁGUA, com as
seguintes características:
• Tensão Elétrica: 127 volts
• Fornecimento de água em, no mínimo, 02 (duas) temperaturas: natural e gelada.
• Refrigeração feita por compressor.
• Para uso fixado na parede ou em bancada.
• Que possibilite fácil substituição do refil pelo próprio usuário, sem a necessidade de ferramentas (sistema “girou trocou”, “troca fácil”, apenas um botão ou similar).
• Elemento filtrante com capacidade de redução de cloro livre, retenção de partículas Classe C ou superior, e eliminação de odores e sabores presentes na água.
• Capacidade de fornecimento de água gelada de, no mínimo, 0,5 L/H, conforme norma ABNT NBR 16236/2013 Versão corrigida ou mais recente.
• Ligado na água da rede.
• Fluido refrigerante ecológico.
• Vida útil do filtro de, no mínimo 06 (seis) meses.
• Selo Inmetro
• Cor branca, cinza, prata ou preta.
• Garantia de no mínimo 6 meses.</v>
      </c>
      <c r="C66" s="41" t="str">
        <f>Item32!C3</f>
        <v>unidade</v>
      </c>
      <c r="D66" s="41">
        <f>Item32!D3</f>
        <v>50</v>
      </c>
      <c r="E66" s="43">
        <f>Item32!F3</f>
        <v>595.19000000000005</v>
      </c>
      <c r="F66" s="43">
        <f>(ROUND(E66,2)*D66)</f>
        <v>29759.500000000004</v>
      </c>
    </row>
    <row r="67" spans="1:6" ht="17.25">
      <c r="A67" s="44" t="s">
        <v>22</v>
      </c>
      <c r="B67" s="78" t="str">
        <f>Item33!G20</f>
        <v>EXTRA</v>
      </c>
      <c r="C67" s="79"/>
      <c r="D67" s="79"/>
      <c r="E67" s="79"/>
      <c r="F67" s="80"/>
    </row>
    <row r="68" spans="1:6" ht="229.5">
      <c r="A68" s="41">
        <v>33</v>
      </c>
      <c r="B68" s="42" t="str">
        <f>Item33!B3</f>
        <v>PURIFICADOR DE ÁGUA, com as
seguintes características:
• Tensão Elétrica: 220 volts.
• Fornecimento de água em, no mínimo, 02 (duas) temperaturas: natural e gelada.
• Refrigeração feita por compressor.
• Para uso fixado na parede ou em bancada.
• Que possibilite fácil substituição do refil pelo próprio usuário, sem a necessidade de ferramentas (sistema “girou trocou”, “troca fácil”, apenas um botão ou similar).
• Elemento filtrante com capacidade de redução de cloro livre, retenção de partículas Classe C ou superior, e eliminação de odores e sabores presentes na água.
• Capacidade de fornecimento de água gelada de, no mínimo, 0,5 L/H, conforme norma ABNT NBR 16236/2013 Versão corrigida ou mais recente.
• Ligado na água da rede.
• Fluido refrigerante ecológico.
• Vida útil do filtro de, no mínimo 06 (seis) meses.
• Selo Inmetro
• Cor branca, cinza, prata ou preta.
• Garantia de no mínimo 6 meses.</v>
      </c>
      <c r="C68" s="41" t="str">
        <f>Item33!C3</f>
        <v>unidade</v>
      </c>
      <c r="D68" s="41">
        <f>Item33!D3</f>
        <v>100</v>
      </c>
      <c r="E68" s="43">
        <f>Item33!F3</f>
        <v>499</v>
      </c>
      <c r="F68" s="43">
        <f>(ROUND(E68,2)*D68)</f>
        <v>49900</v>
      </c>
    </row>
    <row r="69" spans="1:6" ht="17.25">
      <c r="A69" s="44" t="s">
        <v>22</v>
      </c>
      <c r="B69" s="78" t="str">
        <f>Item34!G20</f>
        <v>TOTAL FILTROS</v>
      </c>
      <c r="C69" s="79"/>
      <c r="D69" s="79"/>
      <c r="E69" s="79"/>
      <c r="F69" s="80"/>
    </row>
    <row r="70" spans="1:6" ht="51">
      <c r="A70" s="41">
        <v>34</v>
      </c>
      <c r="B70" s="42" t="str">
        <f>Item34!B3</f>
        <v>Refil para Purificador de água, com as seguintes características mínimas:
• Compatível com purificadores de água indicados nos itens 32 e 33
• Com capacidade de redução de cloro livre, retenção de partículas Classe C ou superior e eliminação de odores e sabores presentes na água.</v>
      </c>
      <c r="C70" s="41" t="str">
        <f>Item34!C3</f>
        <v>unidade</v>
      </c>
      <c r="D70" s="41">
        <f>Item34!D3</f>
        <v>400</v>
      </c>
      <c r="E70" s="43">
        <f>Item34!F3</f>
        <v>33.28</v>
      </c>
      <c r="F70" s="43">
        <f>(ROUND(E70,2)*D70)</f>
        <v>13312</v>
      </c>
    </row>
    <row r="71" spans="1:6" ht="17.25">
      <c r="A71" s="44" t="s">
        <v>22</v>
      </c>
      <c r="B71" s="78" t="str">
        <f>Item35!G20</f>
        <v>OCEANO B2B</v>
      </c>
      <c r="C71" s="79"/>
      <c r="D71" s="79"/>
      <c r="E71" s="79"/>
      <c r="F71" s="80"/>
    </row>
    <row r="72" spans="1:6" ht="216.75">
      <c r="A72" s="41">
        <v>35</v>
      </c>
      <c r="B72" s="42" t="str">
        <f>Item35!B3</f>
        <v>APARELHOS TELEFÔNICOS IP, com as seguintes características:
• Display alfanumérico;
• Teclado com as funções viva-voz, mute, redial e flash;
• 2 (duas) interfaces ethernet, modelo RJ- 45/10/100baseT uma para conexão com a rede e outra para conexão com o PC;
• Suporte aos CODECs de áudio: G711-A, G711-U, G722, G.726 e G.729 A/B;
• Suporte ao protocolo SIP
• Suporte a pelo menos uma conta SIP
• Suporte e Gerenciamento SNMP
• Qualidade do Serviço: Nível 2 (IEEE 802.1p/Q) e Nível 3 (Dlffsen);
• CPU: Memória Flash de, no mínimo, 4 Mbytes e SDRAM de, no mínimo, 8 Mbytes;
•  Modo de Configuração: Via display e via interface WEB;
• Alimentação Externa 110 ~ 220 VAC, inclusive com Poe (Power Over Internet) integrado;
• Manual em português;
• Cor preta, argila ou grafite;
• Referência: GRANDSTREAM GXP 1615/1625, Intelbras TIP125 ou Yealink T19P.</v>
      </c>
      <c r="C72" s="41" t="str">
        <f>Item35!C3</f>
        <v>unidade</v>
      </c>
      <c r="D72" s="41">
        <f>Item35!D3</f>
        <v>375</v>
      </c>
      <c r="E72" s="43">
        <f>Item35!F3</f>
        <v>283.89999999999998</v>
      </c>
      <c r="F72" s="43">
        <f>(ROUND(E72,2)*D72)</f>
        <v>106462.49999999999</v>
      </c>
    </row>
    <row r="73" spans="1:6" ht="17.25">
      <c r="A73" s="44" t="s">
        <v>22</v>
      </c>
      <c r="B73" s="78" t="str">
        <f>Item36!G20</f>
        <v>FERREIRA COSTA</v>
      </c>
      <c r="C73" s="79"/>
      <c r="D73" s="79"/>
      <c r="E73" s="79"/>
      <c r="F73" s="80"/>
    </row>
    <row r="74" spans="1:6" ht="127.5">
      <c r="A74" s="41">
        <v>36</v>
      </c>
      <c r="B74" s="42" t="str">
        <f>Item36!B3</f>
        <v>REFRIGERADOR, com as seguintes especificações:
• Tipo frigobar;
• Volume interno total: 75 a 95 litros;
• Selo Procel Classe A;
• Tensão elétrica: 127 V;
• Degelo automático ou bandeja de degelo;
• Prateleiras removíveis;
• Portas reversíveis;
• Controle de temperatura;
• Cor branca.</v>
      </c>
      <c r="C74" s="41" t="str">
        <f>Item36!C3</f>
        <v>unidade</v>
      </c>
      <c r="D74" s="41">
        <f>Item36!D3</f>
        <v>45</v>
      </c>
      <c r="E74" s="43">
        <f>Item36!F3</f>
        <v>1139.05</v>
      </c>
      <c r="F74" s="43">
        <f>(ROUND(E74,2)*D74)</f>
        <v>51257.25</v>
      </c>
    </row>
    <row r="75" spans="1:6" ht="17.25">
      <c r="A75" s="44" t="s">
        <v>22</v>
      </c>
      <c r="B75" s="78" t="str">
        <f>Item37!G20</f>
        <v>ELETRO LUSTRES</v>
      </c>
      <c r="C75" s="79"/>
      <c r="D75" s="79"/>
      <c r="E75" s="79"/>
      <c r="F75" s="80"/>
    </row>
    <row r="76" spans="1:6" ht="89.25">
      <c r="A76" s="41">
        <v>37</v>
      </c>
      <c r="B76" s="42" t="str">
        <f>Item37!B3</f>
        <v>VENTILADOR DE COLUNA, com as seguintes especificações:
• Grade de metal;
• Diâmetro da grade: 65 cm, admitida variação de ± 5 cm;
• Tensão: bivolt;
• Coluna regulável, com altura mínima de 1,5m na posição distendida;
• Mecanismo oscilante e controle de velocidade.
• Garantia de, no mínimo, 360 dias.</v>
      </c>
      <c r="C76" s="41" t="str">
        <f>Item37!C3</f>
        <v>unidade</v>
      </c>
      <c r="D76" s="41">
        <f>Item37!D3</f>
        <v>150</v>
      </c>
      <c r="E76" s="43">
        <f>Item37!F3</f>
        <v>449.1</v>
      </c>
      <c r="F76" s="43">
        <f>(ROUND(E76,2)*D76)</f>
        <v>67365</v>
      </c>
    </row>
    <row r="77" spans="1:6" ht="17.25">
      <c r="A77" s="44" t="s">
        <v>22</v>
      </c>
      <c r="B77" s="78" t="str">
        <f>Item38!G20</f>
        <v>LOJA MUNDI</v>
      </c>
      <c r="C77" s="79"/>
      <c r="D77" s="79"/>
      <c r="E77" s="79"/>
      <c r="F77" s="80"/>
    </row>
    <row r="78" spans="1:6" ht="229.5">
      <c r="A78" s="41">
        <v>38</v>
      </c>
      <c r="B78" s="42" t="str">
        <f>Item38!B3</f>
        <v>ADAPTADOR PARA TELEFONE ANALÓGICO (ATA)
• 1 porta WAN 100BASE-T RJ-45 Porta Ethernet (IEEE 802.3)
• 1 porta LAN 100 BASE-T RJ-45 Porta Ethertnet (IEEE 802.3)
• 2 portas de telefonia FXS RJ11, com 2 números de telefones independentes;
• Saídas de telefone compatíveis com telefones comuns com e sem fio, ou aparelhos de FAX
• Compatibilidade com protocolo SIP 2.0 (RFC 3261)
• Codesc de voz: G.711, G.726, G.723.1, G.729A/B
• Suporte DTMF (RFC2833 e SIP INFO) e FSK
• Passagem de Fax G711 e T.38
• Suporte à supressão de silêncio, cancelamento de eco (G.165, G167, e G168), CNG (geração de ruído de conforto) e PLC (cancelamento de perda de pacote)
• Configuração de rede: estática, DHCP ou PPPoE (ADSL)
• Configurável através do navegador
• Compatível com as funções telefônicas: identificação de chamada, chamada em espera, correio de voz, etc
• Alimentação através de fonte externa bivolt automática
• Referência: Intelbras GKM 2210T, CISCO SPA 122, GRANDSTREAM NAT HT812</v>
      </c>
      <c r="C78" s="41" t="str">
        <f>Item38!C3</f>
        <v>unidade</v>
      </c>
      <c r="D78" s="41">
        <f>Item38!D3</f>
        <v>225</v>
      </c>
      <c r="E78" s="43">
        <f>Item38!F3</f>
        <v>338.8</v>
      </c>
      <c r="F78" s="43">
        <f>(ROUND(E78,2)*D78)</f>
        <v>76230</v>
      </c>
    </row>
    <row r="79" spans="1:6" ht="15.75">
      <c r="A79" s="38"/>
      <c r="B79" s="38"/>
      <c r="C79" s="75" t="s">
        <v>23</v>
      </c>
      <c r="D79" s="76"/>
      <c r="E79" s="77"/>
      <c r="F79" s="39">
        <f>SUM(F4:F78)</f>
        <v>1030105.8899999999</v>
      </c>
    </row>
  </sheetData>
  <mergeCells count="40">
    <mergeCell ref="C79:E79"/>
    <mergeCell ref="B5:F5"/>
    <mergeCell ref="B7:F7"/>
    <mergeCell ref="B9:F9"/>
    <mergeCell ref="B11:F11"/>
    <mergeCell ref="B13:F13"/>
    <mergeCell ref="B15:F15"/>
    <mergeCell ref="B17:F17"/>
    <mergeCell ref="B19:F19"/>
    <mergeCell ref="B67:F67"/>
    <mergeCell ref="B45:F45"/>
    <mergeCell ref="B47:F47"/>
    <mergeCell ref="B49:F49"/>
    <mergeCell ref="B51:F51"/>
    <mergeCell ref="B53:F53"/>
    <mergeCell ref="B55:F55"/>
    <mergeCell ref="A1:F1"/>
    <mergeCell ref="B3:F3"/>
    <mergeCell ref="B43:F43"/>
    <mergeCell ref="B21:F21"/>
    <mergeCell ref="B23:F23"/>
    <mergeCell ref="B25:F25"/>
    <mergeCell ref="B27:F27"/>
    <mergeCell ref="B29:F29"/>
    <mergeCell ref="B31:F31"/>
    <mergeCell ref="B33:F33"/>
    <mergeCell ref="B35:F35"/>
    <mergeCell ref="B37:F37"/>
    <mergeCell ref="B39:F39"/>
    <mergeCell ref="B41:F41"/>
    <mergeCell ref="B57:F57"/>
    <mergeCell ref="B59:F59"/>
    <mergeCell ref="B61:F61"/>
    <mergeCell ref="B63:F63"/>
    <mergeCell ref="B65:F65"/>
    <mergeCell ref="B69:F69"/>
    <mergeCell ref="B71:F71"/>
    <mergeCell ref="B73:F73"/>
    <mergeCell ref="B75:F75"/>
    <mergeCell ref="B77:F77"/>
  </mergeCells>
  <pageMargins left="0.51181102362204722" right="0.51181102362204722" top="0.78740157480314965" bottom="0.78740157480314965" header="0.31496062992125984" footer="0.31496062992125984"/>
  <pageSetup paperSize="9" scale="9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6" sqref="G6"/>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46</v>
      </c>
      <c r="B2" s="30" t="s">
        <v>24</v>
      </c>
      <c r="C2" s="30" t="s">
        <v>1</v>
      </c>
      <c r="D2" s="30" t="s">
        <v>2</v>
      </c>
      <c r="E2" s="14" t="s">
        <v>32</v>
      </c>
      <c r="F2" s="14" t="s">
        <v>33</v>
      </c>
      <c r="G2" s="30" t="s">
        <v>3</v>
      </c>
      <c r="H2" s="15" t="s">
        <v>4</v>
      </c>
      <c r="I2" s="16" t="s">
        <v>10</v>
      </c>
    </row>
    <row r="3" spans="1:9" ht="12.75" customHeight="1">
      <c r="A3" s="61"/>
      <c r="B3" s="62" t="s">
        <v>179</v>
      </c>
      <c r="C3" s="65" t="s">
        <v>8</v>
      </c>
      <c r="D3" s="68">
        <v>10</v>
      </c>
      <c r="E3" s="71">
        <f>IF(C20&lt;=25%,D20,MIN(E20:F20))</f>
        <v>1004.7</v>
      </c>
      <c r="F3" s="71">
        <f>MIN(H3:H17)</f>
        <v>897.02</v>
      </c>
      <c r="G3" s="4" t="s">
        <v>118</v>
      </c>
      <c r="H3" s="13">
        <v>897.02</v>
      </c>
      <c r="I3" s="29" t="str">
        <f>IF(H3="","",(IF($C$20&lt;25%,"N/A",IF(H3&lt;=($D$20+$A$20),H3,"Descartado"))))</f>
        <v>N/A</v>
      </c>
    </row>
    <row r="4" spans="1:9">
      <c r="A4" s="61"/>
      <c r="B4" s="63"/>
      <c r="C4" s="66"/>
      <c r="D4" s="69"/>
      <c r="E4" s="72"/>
      <c r="F4" s="72"/>
      <c r="G4" s="4" t="s">
        <v>182</v>
      </c>
      <c r="H4" s="13">
        <v>1199</v>
      </c>
      <c r="I4" s="29" t="str">
        <f t="shared" ref="I4:I17" si="0">IF(H4="","",(IF($C$20&lt;25%,"N/A",IF(H4&lt;=($D$20+$A$20),H4,"Descartado"))))</f>
        <v>N/A</v>
      </c>
    </row>
    <row r="5" spans="1:9">
      <c r="A5" s="61"/>
      <c r="B5" s="63"/>
      <c r="C5" s="66"/>
      <c r="D5" s="69"/>
      <c r="E5" s="72"/>
      <c r="F5" s="72"/>
      <c r="G5" s="4" t="s">
        <v>121</v>
      </c>
      <c r="H5" s="13">
        <v>918.07</v>
      </c>
      <c r="I5" s="29" t="str">
        <f t="shared" si="0"/>
        <v>N/A</v>
      </c>
    </row>
    <row r="6" spans="1:9">
      <c r="A6" s="61"/>
      <c r="B6" s="63"/>
      <c r="C6" s="66"/>
      <c r="D6" s="69"/>
      <c r="E6" s="72"/>
      <c r="F6" s="72"/>
      <c r="G6" s="4"/>
      <c r="H6" s="13"/>
      <c r="I6" s="29" t="str">
        <f t="shared" si="0"/>
        <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168.60045857984315</v>
      </c>
      <c r="B20" s="19">
        <f>COUNT(H3:H17)</f>
        <v>3</v>
      </c>
      <c r="C20" s="20">
        <f>IF(B20&lt;2,"N/A",(A20/D20))</f>
        <v>0.16781174338592927</v>
      </c>
      <c r="D20" s="21">
        <f>ROUND(AVERAGE(H3:H17),2)</f>
        <v>1004.7</v>
      </c>
      <c r="E20" s="22" t="str">
        <f>IFERROR(ROUND(IF(B20&lt;2,"N/A",(IF(C20&lt;=25%,"N/A",AVERAGE(I3:I17)))),2),"N/A")</f>
        <v>N/A</v>
      </c>
      <c r="F20" s="22">
        <f>ROUND(MEDIAN(H3:H17),2)</f>
        <v>918.07</v>
      </c>
      <c r="G20" s="23" t="str">
        <f>INDEX(G3:G17,MATCH(H20,H3:H17,0))</f>
        <v>AMERICANAS</v>
      </c>
      <c r="H20" s="24">
        <f>MIN(H3:H17)</f>
        <v>897.02</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1004.7</v>
      </c>
    </row>
    <row r="23" spans="1:11">
      <c r="B23" s="32"/>
      <c r="C23" s="32"/>
      <c r="D23" s="57"/>
      <c r="E23" s="57"/>
      <c r="F23" s="36"/>
      <c r="G23" s="27" t="s">
        <v>9</v>
      </c>
      <c r="H23" s="28">
        <f>ROUND(H22,2)*D3</f>
        <v>10047</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7" sqref="G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47</v>
      </c>
      <c r="B2" s="30" t="s">
        <v>24</v>
      </c>
      <c r="C2" s="30" t="s">
        <v>1</v>
      </c>
      <c r="D2" s="30" t="s">
        <v>2</v>
      </c>
      <c r="E2" s="14" t="s">
        <v>32</v>
      </c>
      <c r="F2" s="14" t="s">
        <v>33</v>
      </c>
      <c r="G2" s="30" t="s">
        <v>3</v>
      </c>
      <c r="H2" s="15" t="s">
        <v>4</v>
      </c>
      <c r="I2" s="16" t="s">
        <v>10</v>
      </c>
    </row>
    <row r="3" spans="1:9" ht="12.75" customHeight="1">
      <c r="A3" s="61"/>
      <c r="B3" s="62" t="s">
        <v>94</v>
      </c>
      <c r="C3" s="65" t="s">
        <v>8</v>
      </c>
      <c r="D3" s="68">
        <v>50</v>
      </c>
      <c r="E3" s="71">
        <f>IF(C20&lt;=25%,D20,MIN(E20:F20))</f>
        <v>212.08</v>
      </c>
      <c r="F3" s="71">
        <f>MIN(H3:H17)</f>
        <v>179.99</v>
      </c>
      <c r="G3" s="4" t="s">
        <v>118</v>
      </c>
      <c r="H3" s="13">
        <v>179.99</v>
      </c>
      <c r="I3" s="29" t="str">
        <f>IF(H3="","",(IF($C$20&lt;25%,"N/A",IF(H3&lt;=($D$20+$A$20),H3,"Descartado"))))</f>
        <v>N/A</v>
      </c>
    </row>
    <row r="4" spans="1:9">
      <c r="A4" s="61"/>
      <c r="B4" s="63"/>
      <c r="C4" s="66"/>
      <c r="D4" s="69"/>
      <c r="E4" s="72"/>
      <c r="F4" s="72"/>
      <c r="G4" s="4" t="s">
        <v>137</v>
      </c>
      <c r="H4" s="13">
        <v>215.99</v>
      </c>
      <c r="I4" s="29" t="str">
        <f t="shared" ref="I4:I17" si="0">IF(H4="","",(IF($C$20&lt;25%,"N/A",IF(H4&lt;=($D$20+$A$20),H4,"Descartado"))))</f>
        <v>N/A</v>
      </c>
    </row>
    <row r="5" spans="1:9">
      <c r="A5" s="61"/>
      <c r="B5" s="63"/>
      <c r="C5" s="66"/>
      <c r="D5" s="69"/>
      <c r="E5" s="72"/>
      <c r="F5" s="72"/>
      <c r="G5" s="4" t="s">
        <v>138</v>
      </c>
      <c r="H5" s="13">
        <v>229.9</v>
      </c>
      <c r="I5" s="29" t="str">
        <f t="shared" si="0"/>
        <v>N/A</v>
      </c>
    </row>
    <row r="6" spans="1:9">
      <c r="A6" s="61"/>
      <c r="B6" s="63"/>
      <c r="C6" s="66"/>
      <c r="D6" s="69"/>
      <c r="E6" s="72"/>
      <c r="F6" s="72"/>
      <c r="G6" s="4" t="s">
        <v>121</v>
      </c>
      <c r="H6" s="13">
        <v>222.43</v>
      </c>
      <c r="I6" s="29" t="str">
        <f t="shared" si="0"/>
        <v>N/A</v>
      </c>
    </row>
    <row r="7" spans="1:9">
      <c r="A7" s="61"/>
      <c r="B7" s="63"/>
      <c r="C7" s="66"/>
      <c r="D7" s="69"/>
      <c r="E7" s="72"/>
      <c r="F7" s="72"/>
      <c r="G7" s="4"/>
      <c r="H7" s="13"/>
      <c r="I7" s="29" t="str">
        <f t="shared" si="0"/>
        <v/>
      </c>
    </row>
    <row r="8" spans="1:9">
      <c r="A8" s="61"/>
      <c r="B8" s="63"/>
      <c r="C8" s="66"/>
      <c r="D8" s="69"/>
      <c r="E8" s="72"/>
      <c r="F8" s="72"/>
      <c r="G8" s="4"/>
      <c r="H8" s="13"/>
      <c r="I8" s="29" t="str">
        <f t="shared" si="0"/>
        <v/>
      </c>
    </row>
    <row r="9" spans="1:9">
      <c r="A9" s="61"/>
      <c r="B9" s="63"/>
      <c r="C9" s="66"/>
      <c r="D9" s="69"/>
      <c r="E9" s="72"/>
      <c r="F9" s="72"/>
      <c r="G9" s="4"/>
      <c r="H9" s="13"/>
      <c r="I9" s="29" t="str">
        <f t="shared" si="0"/>
        <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22.133918729708331</v>
      </c>
      <c r="B20" s="19">
        <f>COUNT(H3:H17)</f>
        <v>4</v>
      </c>
      <c r="C20" s="20">
        <f>IF(B20&lt;2,"N/A",(A20/D20))</f>
        <v>0.10436589367082388</v>
      </c>
      <c r="D20" s="21">
        <f>ROUND(AVERAGE(H3:H17),2)</f>
        <v>212.08</v>
      </c>
      <c r="E20" s="22" t="str">
        <f>IFERROR(ROUND(IF(B20&lt;2,"N/A",(IF(C20&lt;=25%,"N/A",AVERAGE(I3:I17)))),2),"N/A")</f>
        <v>N/A</v>
      </c>
      <c r="F20" s="22">
        <f>ROUND(MEDIAN(H3:H17),2)</f>
        <v>219.21</v>
      </c>
      <c r="G20" s="23" t="str">
        <f>INDEX(G3:G17,MATCH(H20,H3:H17,0))</f>
        <v>AMERICANAS</v>
      </c>
      <c r="H20" s="24">
        <f>MIN(H3:H17)</f>
        <v>179.99</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212.08</v>
      </c>
    </row>
    <row r="23" spans="1:11">
      <c r="B23" s="32"/>
      <c r="C23" s="32"/>
      <c r="D23" s="57"/>
      <c r="E23" s="57"/>
      <c r="F23" s="36"/>
      <c r="G23" s="27" t="s">
        <v>9</v>
      </c>
      <c r="H23" s="28">
        <f>ROUND(H22,2)*D3</f>
        <v>10604</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10" sqref="H10"/>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48</v>
      </c>
      <c r="B2" s="30" t="s">
        <v>24</v>
      </c>
      <c r="C2" s="30" t="s">
        <v>1</v>
      </c>
      <c r="D2" s="30" t="s">
        <v>2</v>
      </c>
      <c r="E2" s="14" t="s">
        <v>32</v>
      </c>
      <c r="F2" s="14" t="s">
        <v>33</v>
      </c>
      <c r="G2" s="30" t="s">
        <v>3</v>
      </c>
      <c r="H2" s="15" t="s">
        <v>4</v>
      </c>
      <c r="I2" s="16" t="s">
        <v>10</v>
      </c>
    </row>
    <row r="3" spans="1:9" ht="12.75" customHeight="1">
      <c r="A3" s="61"/>
      <c r="B3" s="62" t="s">
        <v>95</v>
      </c>
      <c r="C3" s="65" t="s">
        <v>8</v>
      </c>
      <c r="D3" s="68">
        <v>50</v>
      </c>
      <c r="E3" s="71">
        <f>IF(C20&lt;=25%,D20,MIN(E20:F20))</f>
        <v>214.73</v>
      </c>
      <c r="F3" s="71">
        <f>MIN(H3:H17)</f>
        <v>174.99</v>
      </c>
      <c r="G3" s="4" t="s">
        <v>118</v>
      </c>
      <c r="H3" s="13">
        <v>179.99</v>
      </c>
      <c r="I3" s="29" t="str">
        <f>IF(H3="","",(IF($C$20&lt;25%,"N/A",IF(H3&lt;=($D$20+$A$20),H3,"Descartado"))))</f>
        <v>N/A</v>
      </c>
    </row>
    <row r="4" spans="1:9">
      <c r="A4" s="61"/>
      <c r="B4" s="63"/>
      <c r="C4" s="66"/>
      <c r="D4" s="69"/>
      <c r="E4" s="72"/>
      <c r="F4" s="72"/>
      <c r="G4" s="4" t="s">
        <v>120</v>
      </c>
      <c r="H4" s="13">
        <v>259.89999999999998</v>
      </c>
      <c r="I4" s="29" t="str">
        <f t="shared" ref="I4:I17" si="0">IF(H4="","",(IF($C$20&lt;25%,"N/A",IF(H4&lt;=($D$20+$A$20),H4,"Descartado"))))</f>
        <v>N/A</v>
      </c>
    </row>
    <row r="5" spans="1:9">
      <c r="A5" s="61"/>
      <c r="B5" s="63"/>
      <c r="C5" s="66"/>
      <c r="D5" s="69"/>
      <c r="E5" s="72"/>
      <c r="F5" s="72"/>
      <c r="G5" s="4" t="s">
        <v>139</v>
      </c>
      <c r="H5" s="13">
        <v>229.9</v>
      </c>
      <c r="I5" s="29" t="str">
        <f t="shared" si="0"/>
        <v>N/A</v>
      </c>
    </row>
    <row r="6" spans="1:9">
      <c r="A6" s="61"/>
      <c r="B6" s="63"/>
      <c r="C6" s="66"/>
      <c r="D6" s="69"/>
      <c r="E6" s="72"/>
      <c r="F6" s="72"/>
      <c r="G6" s="4" t="s">
        <v>124</v>
      </c>
      <c r="H6" s="13">
        <v>198.55</v>
      </c>
      <c r="I6" s="29" t="str">
        <f t="shared" si="0"/>
        <v>N/A</v>
      </c>
    </row>
    <row r="7" spans="1:9">
      <c r="A7" s="61"/>
      <c r="B7" s="63"/>
      <c r="C7" s="66"/>
      <c r="D7" s="69"/>
      <c r="E7" s="72"/>
      <c r="F7" s="72"/>
      <c r="G7" s="4" t="s">
        <v>138</v>
      </c>
      <c r="H7" s="13">
        <v>229.9</v>
      </c>
      <c r="I7" s="29" t="str">
        <f t="shared" si="0"/>
        <v>N/A</v>
      </c>
    </row>
    <row r="8" spans="1:9">
      <c r="A8" s="61"/>
      <c r="B8" s="63"/>
      <c r="C8" s="66"/>
      <c r="D8" s="69"/>
      <c r="E8" s="72"/>
      <c r="F8" s="72"/>
      <c r="G8" s="4" t="s">
        <v>121</v>
      </c>
      <c r="H8" s="13">
        <v>174.99</v>
      </c>
      <c r="I8" s="29" t="str">
        <f t="shared" si="0"/>
        <v>N/A</v>
      </c>
    </row>
    <row r="9" spans="1:9">
      <c r="A9" s="61"/>
      <c r="B9" s="63"/>
      <c r="C9" s="66"/>
      <c r="D9" s="69"/>
      <c r="E9" s="72"/>
      <c r="F9" s="72"/>
      <c r="G9" s="4" t="s">
        <v>140</v>
      </c>
      <c r="H9" s="13">
        <v>229.9</v>
      </c>
      <c r="I9" s="29" t="str">
        <f t="shared" si="0"/>
        <v>N/A</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31.033968332718544</v>
      </c>
      <c r="B20" s="19">
        <f>COUNT(H3:H17)</f>
        <v>7</v>
      </c>
      <c r="C20" s="20">
        <f>IF(B20&lt;2,"N/A",(A20/D20))</f>
        <v>0.14452553594150117</v>
      </c>
      <c r="D20" s="21">
        <f>ROUND(AVERAGE(H3:H17),2)</f>
        <v>214.73</v>
      </c>
      <c r="E20" s="22" t="str">
        <f>IFERROR(ROUND(IF(B20&lt;2,"N/A",(IF(C20&lt;=25%,"N/A",AVERAGE(I3:I17)))),2),"N/A")</f>
        <v>N/A</v>
      </c>
      <c r="F20" s="22">
        <f>ROUND(MEDIAN(H3:H17),2)</f>
        <v>229.9</v>
      </c>
      <c r="G20" s="23" t="str">
        <f>INDEX(G3:G17,MATCH(H20,H3:H17,0))</f>
        <v>MAGAZINE LUIZA</v>
      </c>
      <c r="H20" s="24">
        <f>MIN(H3:H17)</f>
        <v>174.99</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214.73</v>
      </c>
    </row>
    <row r="23" spans="1:11">
      <c r="B23" s="32"/>
      <c r="C23" s="32"/>
      <c r="D23" s="57"/>
      <c r="E23" s="57"/>
      <c r="F23" s="36"/>
      <c r="G23" s="27" t="s">
        <v>9</v>
      </c>
      <c r="H23" s="28">
        <f>ROUND(H22,2)*D3</f>
        <v>10736.5</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8" t="s">
        <v>12</v>
      </c>
      <c r="B1" s="59"/>
      <c r="C1" s="59"/>
      <c r="D1" s="59"/>
      <c r="E1" s="59"/>
      <c r="F1" s="59"/>
      <c r="G1" s="59"/>
      <c r="H1" s="59"/>
      <c r="I1" s="60"/>
    </row>
    <row r="2" spans="1:9" ht="25.5">
      <c r="A2" s="61" t="s">
        <v>49</v>
      </c>
      <c r="B2" s="30" t="s">
        <v>24</v>
      </c>
      <c r="C2" s="30" t="s">
        <v>1</v>
      </c>
      <c r="D2" s="30" t="s">
        <v>2</v>
      </c>
      <c r="E2" s="14" t="s">
        <v>32</v>
      </c>
      <c r="F2" s="14" t="s">
        <v>33</v>
      </c>
      <c r="G2" s="30" t="s">
        <v>3</v>
      </c>
      <c r="H2" s="15" t="s">
        <v>4</v>
      </c>
      <c r="I2" s="16" t="s">
        <v>10</v>
      </c>
    </row>
    <row r="3" spans="1:9" ht="12.75" customHeight="1">
      <c r="A3" s="61"/>
      <c r="B3" s="62" t="s">
        <v>96</v>
      </c>
      <c r="C3" s="65" t="s">
        <v>8</v>
      </c>
      <c r="D3" s="68">
        <v>60</v>
      </c>
      <c r="E3" s="71">
        <f>IF(C20&lt;=25%,D20,MIN(E20:F20))</f>
        <v>700.11</v>
      </c>
      <c r="F3" s="71">
        <f>MIN(H3:H17)</f>
        <v>529</v>
      </c>
      <c r="G3" s="4" t="s">
        <v>118</v>
      </c>
      <c r="H3" s="13">
        <v>798.99</v>
      </c>
      <c r="I3" s="29" t="str">
        <f>IF(H3="","",(IF($C$20&lt;25%,"N/A",IF(H3&lt;=($D$20+$A$20),H3,"Descartado"))))</f>
        <v>N/A</v>
      </c>
    </row>
    <row r="4" spans="1:9">
      <c r="A4" s="61"/>
      <c r="B4" s="63"/>
      <c r="C4" s="66"/>
      <c r="D4" s="69"/>
      <c r="E4" s="72"/>
      <c r="F4" s="72"/>
      <c r="G4" s="4" t="s">
        <v>119</v>
      </c>
      <c r="H4" s="13">
        <v>529</v>
      </c>
      <c r="I4" s="29" t="str">
        <f t="shared" ref="I4:I17" si="0">IF(H4="","",(IF($C$20&lt;25%,"N/A",IF(H4&lt;=($D$20+$A$20),H4,"Descartado"))))</f>
        <v>N/A</v>
      </c>
    </row>
    <row r="5" spans="1:9">
      <c r="A5" s="61"/>
      <c r="B5" s="63"/>
      <c r="C5" s="66"/>
      <c r="D5" s="69"/>
      <c r="E5" s="72"/>
      <c r="F5" s="72"/>
      <c r="G5" s="4" t="s">
        <v>120</v>
      </c>
      <c r="H5" s="13">
        <v>639</v>
      </c>
      <c r="I5" s="29" t="str">
        <f t="shared" si="0"/>
        <v>N/A</v>
      </c>
    </row>
    <row r="6" spans="1:9">
      <c r="A6" s="61"/>
      <c r="B6" s="63"/>
      <c r="C6" s="66"/>
      <c r="D6" s="69"/>
      <c r="E6" s="72"/>
      <c r="F6" s="72"/>
      <c r="G6" s="4" t="s">
        <v>138</v>
      </c>
      <c r="H6" s="13">
        <v>664.99</v>
      </c>
      <c r="I6" s="29" t="str">
        <f t="shared" si="0"/>
        <v>N/A</v>
      </c>
    </row>
    <row r="7" spans="1:9">
      <c r="A7" s="61"/>
      <c r="B7" s="63"/>
      <c r="C7" s="66"/>
      <c r="D7" s="69"/>
      <c r="E7" s="72"/>
      <c r="F7" s="72"/>
      <c r="G7" s="4" t="s">
        <v>141</v>
      </c>
      <c r="H7" s="13">
        <v>949.9</v>
      </c>
      <c r="I7" s="29" t="str">
        <f t="shared" si="0"/>
        <v>N/A</v>
      </c>
    </row>
    <row r="8" spans="1:9">
      <c r="A8" s="61"/>
      <c r="B8" s="63"/>
      <c r="C8" s="66"/>
      <c r="D8" s="69"/>
      <c r="E8" s="72"/>
      <c r="F8" s="72"/>
      <c r="G8" s="4" t="s">
        <v>142</v>
      </c>
      <c r="H8" s="13">
        <v>599</v>
      </c>
      <c r="I8" s="29" t="str">
        <f t="shared" si="0"/>
        <v>N/A</v>
      </c>
    </row>
    <row r="9" spans="1:9">
      <c r="A9" s="61"/>
      <c r="B9" s="63"/>
      <c r="C9" s="66"/>
      <c r="D9" s="69"/>
      <c r="E9" s="72"/>
      <c r="F9" s="72"/>
      <c r="G9" s="4" t="s">
        <v>143</v>
      </c>
      <c r="H9" s="13">
        <v>719.9</v>
      </c>
      <c r="I9" s="29" t="str">
        <f t="shared" si="0"/>
        <v>N/A</v>
      </c>
    </row>
    <row r="10" spans="1:9">
      <c r="A10" s="61"/>
      <c r="B10" s="63"/>
      <c r="C10" s="66"/>
      <c r="D10" s="69"/>
      <c r="E10" s="72"/>
      <c r="F10" s="72"/>
      <c r="G10" s="4"/>
      <c r="H10" s="13"/>
      <c r="I10" s="29" t="str">
        <f t="shared" si="0"/>
        <v/>
      </c>
    </row>
    <row r="11" spans="1:9">
      <c r="A11" s="61"/>
      <c r="B11" s="63"/>
      <c r="C11" s="66"/>
      <c r="D11" s="69"/>
      <c r="E11" s="72"/>
      <c r="F11" s="72"/>
      <c r="G11" s="4"/>
      <c r="H11" s="13"/>
      <c r="I11" s="29" t="str">
        <f t="shared" si="0"/>
        <v/>
      </c>
    </row>
    <row r="12" spans="1:9">
      <c r="A12" s="61"/>
      <c r="B12" s="63"/>
      <c r="C12" s="66"/>
      <c r="D12" s="69"/>
      <c r="E12" s="72"/>
      <c r="F12" s="72"/>
      <c r="G12" s="4"/>
      <c r="H12" s="13"/>
      <c r="I12" s="29" t="str">
        <f t="shared" si="0"/>
        <v/>
      </c>
    </row>
    <row r="13" spans="1:9">
      <c r="A13" s="61"/>
      <c r="B13" s="63"/>
      <c r="C13" s="66"/>
      <c r="D13" s="69"/>
      <c r="E13" s="72"/>
      <c r="F13" s="72"/>
      <c r="G13" s="4"/>
      <c r="H13" s="13"/>
      <c r="I13" s="29" t="str">
        <f t="shared" si="0"/>
        <v/>
      </c>
    </row>
    <row r="14" spans="1:9">
      <c r="A14" s="61"/>
      <c r="B14" s="63"/>
      <c r="C14" s="66"/>
      <c r="D14" s="69"/>
      <c r="E14" s="72"/>
      <c r="F14" s="72"/>
      <c r="G14" s="4"/>
      <c r="H14" s="13"/>
      <c r="I14" s="29" t="str">
        <f t="shared" si="0"/>
        <v/>
      </c>
    </row>
    <row r="15" spans="1:9">
      <c r="A15" s="61"/>
      <c r="B15" s="63"/>
      <c r="C15" s="66"/>
      <c r="D15" s="69"/>
      <c r="E15" s="72"/>
      <c r="F15" s="72"/>
      <c r="G15" s="4"/>
      <c r="H15" s="13"/>
      <c r="I15" s="29" t="str">
        <f t="shared" si="0"/>
        <v/>
      </c>
    </row>
    <row r="16" spans="1:9">
      <c r="A16" s="61"/>
      <c r="B16" s="63"/>
      <c r="C16" s="66"/>
      <c r="D16" s="69"/>
      <c r="E16" s="72"/>
      <c r="F16" s="72"/>
      <c r="G16" s="4"/>
      <c r="H16" s="13"/>
      <c r="I16" s="29" t="str">
        <f t="shared" si="0"/>
        <v/>
      </c>
    </row>
    <row r="17" spans="1:11">
      <c r="A17" s="61"/>
      <c r="B17" s="64"/>
      <c r="C17" s="67"/>
      <c r="D17" s="70"/>
      <c r="E17" s="73"/>
      <c r="F17" s="73"/>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5" t="s">
        <v>34</v>
      </c>
      <c r="H19" s="56"/>
      <c r="I19" s="31"/>
    </row>
    <row r="20" spans="1:11">
      <c r="A20" s="19">
        <f>IF(B20&lt;2,"N/A",(STDEV(H3:H17)))</f>
        <v>139.66248200913654</v>
      </c>
      <c r="B20" s="19">
        <f>COUNT(H3:H17)</f>
        <v>7</v>
      </c>
      <c r="C20" s="20">
        <f>IF(B20&lt;2,"N/A",(A20/D20))</f>
        <v>0.19948648356563473</v>
      </c>
      <c r="D20" s="21">
        <f>ROUND(AVERAGE(H3:H17),2)</f>
        <v>700.11</v>
      </c>
      <c r="E20" s="22" t="str">
        <f>IFERROR(ROUND(IF(B20&lt;2,"N/A",(IF(C20&lt;=25%,"N/A",AVERAGE(I3:I17)))),2),"N/A")</f>
        <v>N/A</v>
      </c>
      <c r="F20" s="22">
        <f>ROUND(MEDIAN(H3:H17),2)</f>
        <v>664.99</v>
      </c>
      <c r="G20" s="23" t="str">
        <f>INDEX(G3:G17,MATCH(H20,H3:H17,0))</f>
        <v>CARREFOUR</v>
      </c>
      <c r="H20" s="24">
        <f>MIN(H3:H17)</f>
        <v>529</v>
      </c>
      <c r="I20" s="31"/>
    </row>
    <row r="21" spans="1:11">
      <c r="A21" s="32"/>
      <c r="B21" s="31"/>
      <c r="C21" s="33"/>
      <c r="D21" s="33"/>
      <c r="E21" s="33"/>
      <c r="F21" s="33"/>
      <c r="G21" s="31"/>
      <c r="H21" s="34"/>
      <c r="I21" s="12"/>
      <c r="J21" s="12"/>
      <c r="K21" s="12"/>
    </row>
    <row r="22" spans="1:11">
      <c r="B22" s="32"/>
      <c r="C22" s="32"/>
      <c r="D22" s="57"/>
      <c r="E22" s="57"/>
      <c r="F22" s="35"/>
      <c r="G22" s="25" t="s">
        <v>41</v>
      </c>
      <c r="H22" s="26">
        <f>IF(C20&lt;=25%,D20,MIN(E20:F20))</f>
        <v>700.11</v>
      </c>
    </row>
    <row r="23" spans="1:11">
      <c r="B23" s="32"/>
      <c r="C23" s="32"/>
      <c r="D23" s="57"/>
      <c r="E23" s="57"/>
      <c r="F23" s="36"/>
      <c r="G23" s="27" t="s">
        <v>9</v>
      </c>
      <c r="H23" s="28">
        <f>ROUND(H22,2)*D3</f>
        <v>42006.6</v>
      </c>
    </row>
    <row r="24" spans="1:11">
      <c r="B24" s="37"/>
      <c r="C24" s="37"/>
      <c r="D24" s="31"/>
      <c r="E24" s="31"/>
    </row>
    <row r="26" spans="1:11">
      <c r="A26" s="49" t="s">
        <v>25</v>
      </c>
      <c r="B26" s="50"/>
      <c r="C26" s="50"/>
      <c r="D26" s="50"/>
      <c r="E26" s="50"/>
      <c r="F26" s="50"/>
      <c r="G26" s="50"/>
      <c r="H26" s="50"/>
      <c r="I26" s="51"/>
    </row>
    <row r="27" spans="1:11" ht="12.75" customHeight="1">
      <c r="A27" s="49" t="s">
        <v>26</v>
      </c>
      <c r="B27" s="50"/>
      <c r="C27" s="50"/>
      <c r="D27" s="50"/>
      <c r="E27" s="50"/>
      <c r="F27" s="50"/>
      <c r="G27" s="50"/>
      <c r="H27" s="50"/>
      <c r="I27" s="51"/>
    </row>
    <row r="28" spans="1:11" ht="12.75" customHeight="1">
      <c r="A28" s="49" t="s">
        <v>27</v>
      </c>
      <c r="B28" s="50"/>
      <c r="C28" s="50"/>
      <c r="D28" s="50"/>
      <c r="E28" s="50"/>
      <c r="F28" s="50"/>
      <c r="G28" s="50"/>
      <c r="H28" s="50"/>
      <c r="I28" s="51"/>
    </row>
    <row r="29" spans="1:11">
      <c r="A29" s="49" t="s">
        <v>28</v>
      </c>
      <c r="B29" s="50"/>
      <c r="C29" s="50"/>
      <c r="D29" s="50"/>
      <c r="E29" s="50"/>
      <c r="F29" s="50"/>
      <c r="G29" s="50"/>
      <c r="H29" s="50"/>
      <c r="I29" s="51"/>
    </row>
    <row r="30" spans="1:11" ht="12.75" customHeight="1">
      <c r="A30" s="49" t="s">
        <v>29</v>
      </c>
      <c r="B30" s="50"/>
      <c r="C30" s="50"/>
      <c r="D30" s="50"/>
      <c r="E30" s="50"/>
      <c r="F30" s="50"/>
      <c r="G30" s="50"/>
      <c r="H30" s="50"/>
      <c r="I30" s="51"/>
    </row>
    <row r="31" spans="1:11" ht="12.75" customHeight="1">
      <c r="A31" s="49" t="s">
        <v>30</v>
      </c>
      <c r="B31" s="50"/>
      <c r="C31" s="50"/>
      <c r="D31" s="50"/>
      <c r="E31" s="50"/>
      <c r="F31" s="50"/>
      <c r="G31" s="50"/>
      <c r="H31" s="50"/>
      <c r="I31" s="51"/>
    </row>
    <row r="32" spans="1:11" ht="24.75" customHeight="1">
      <c r="A32" s="52" t="s">
        <v>31</v>
      </c>
      <c r="B32" s="53"/>
      <c r="C32" s="53"/>
      <c r="D32" s="53"/>
      <c r="E32" s="53"/>
      <c r="F32" s="53"/>
      <c r="G32" s="53"/>
      <c r="H32" s="53"/>
      <c r="I32" s="54"/>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52</vt:i4>
      </vt:variant>
      <vt:variant>
        <vt:lpstr>Intervalos nomeados</vt:lpstr>
      </vt:variant>
      <vt:variant>
        <vt:i4>3</vt:i4>
      </vt:variant>
    </vt:vector>
  </HeadingPairs>
  <TitlesOfParts>
    <vt:vector size="55"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Item28</vt:lpstr>
      <vt:lpstr>Item29</vt:lpstr>
      <vt:lpstr>Item30</vt:lpstr>
      <vt:lpstr>Item31</vt:lpstr>
      <vt:lpstr>Item32</vt:lpstr>
      <vt:lpstr>Item33</vt:lpstr>
      <vt:lpstr>Item34</vt:lpstr>
      <vt:lpstr>Item35</vt:lpstr>
      <vt:lpstr>Item36</vt:lpstr>
      <vt:lpstr>Item37</vt:lpstr>
      <vt:lpstr>Item38</vt:lpstr>
      <vt:lpstr>Item39</vt:lpstr>
      <vt:lpstr>Item40</vt:lpstr>
      <vt:lpstr>Item41</vt:lpstr>
      <vt:lpstr>Item42</vt:lpstr>
      <vt:lpstr>Item43</vt:lpstr>
      <vt:lpstr>Item44</vt:lpstr>
      <vt:lpstr>Item45</vt:lpstr>
      <vt:lpstr>Item46</vt:lpstr>
      <vt:lpstr>Item47</vt:lpstr>
      <vt:lpstr>Item48</vt:lpstr>
      <vt:lpstr>Item49</vt:lpstr>
      <vt:lpstr>Item50</vt:lpstr>
      <vt:lpstr>TOTAL</vt:lpstr>
      <vt:lpstr>menores</vt:lpstr>
      <vt:lpstr>menores!Area_de_impressao</vt:lpstr>
      <vt:lpstr>TOTAL!Area_de_impressao</vt:lpstr>
      <vt:lpstr>TOTAL!Titulos_de_impressao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Marconni Rodrigues de Alcantara Santos</cp:lastModifiedBy>
  <cp:lastPrinted>2022-07-22T13:13:52Z</cp:lastPrinted>
  <dcterms:created xsi:type="dcterms:W3CDTF">2019-01-16T20:04:04Z</dcterms:created>
  <dcterms:modified xsi:type="dcterms:W3CDTF">2022-07-22T13:14:09Z</dcterms:modified>
</cp:coreProperties>
</file>